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eg.PARADIGM\Dropbox\GREG\TECHNICAL\CALCULATORS\WEB SITE DOWNLOADS\"/>
    </mc:Choice>
  </mc:AlternateContent>
  <xr:revisionPtr revIDLastSave="0" documentId="8_{E8EDFE2E-8BB9-47AD-8719-C94D518DF70F}" xr6:coauthVersionLast="45" xr6:coauthVersionMax="45" xr10:uidLastSave="{00000000-0000-0000-0000-000000000000}"/>
  <workbookProtection workbookAlgorithmName="SHA-512" workbookHashValue="hZoD4ARiVYetLeMkpD4Uq73y1YZ8Ym0lGNUl5IH/oImvBoAenrYU+AdKXw/6ZjFIwUYXAL6JvW3KK8rdkbSmpg==" workbookSaltValue="J+mx1FrwwSQAErnWRx74/w==" workbookSpinCount="100000" lockStructure="1"/>
  <bookViews>
    <workbookView xWindow="41670" yWindow="-930" windowWidth="21190" windowHeight="18980" xr2:uid="{00000000-000D-0000-FFFF-FFFF00000000}"/>
  </bookViews>
  <sheets>
    <sheet name="READ ME FIRST!" sheetId="4" r:id="rId1"/>
    <sheet name="Basic Decision Making " sheetId="2" r:id="rId2"/>
    <sheet name="Analytical Decision Making" sheetId="1" r:id="rId3"/>
    <sheet name="Example" sheetId="3" r:id="rId4"/>
  </sheet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3" l="1"/>
  <c r="C31" i="3"/>
  <c r="E30" i="3"/>
  <c r="C30" i="3"/>
  <c r="E29" i="3"/>
  <c r="E41" i="3" s="1"/>
  <c r="D29" i="3"/>
  <c r="C29" i="3"/>
  <c r="C41" i="3" s="1"/>
  <c r="C37" i="3"/>
  <c r="C38" i="3" s="1"/>
  <c r="D19" i="3"/>
  <c r="B57" i="3" s="1"/>
  <c r="D27" i="3"/>
  <c r="F29" i="3" s="1"/>
  <c r="C32" i="3"/>
  <c r="C53" i="3"/>
  <c r="D53" i="3"/>
  <c r="E37" i="3"/>
  <c r="E38" i="3"/>
  <c r="B51" i="3"/>
  <c r="B55" i="3"/>
  <c r="B50" i="3"/>
  <c r="C51" i="3"/>
  <c r="D51" i="3" s="1"/>
  <c r="C55" i="3"/>
  <c r="D55" i="3" s="1"/>
  <c r="E32" i="2"/>
  <c r="C31" i="2"/>
  <c r="C32" i="2"/>
  <c r="E30" i="2"/>
  <c r="C30" i="2"/>
  <c r="E29" i="2"/>
  <c r="E37" i="2"/>
  <c r="E38" i="2"/>
  <c r="E40" i="2"/>
  <c r="D29" i="2"/>
  <c r="C29" i="2"/>
  <c r="D19" i="2"/>
  <c r="B51" i="2" s="1"/>
  <c r="G20" i="1"/>
  <c r="D32" i="3"/>
  <c r="E40" i="3"/>
  <c r="E39" i="3"/>
  <c r="E39" i="2"/>
  <c r="E41" i="2"/>
  <c r="C41" i="2"/>
  <c r="C37" i="2"/>
  <c r="C38" i="2"/>
  <c r="C49" i="2"/>
  <c r="D49" i="2" s="1"/>
  <c r="B50" i="2"/>
  <c r="C40" i="2"/>
  <c r="C39" i="2"/>
  <c r="E19" i="1"/>
  <c r="C21" i="1"/>
  <c r="G22" i="1"/>
  <c r="C22" i="1"/>
  <c r="E22" i="1"/>
  <c r="C39" i="3" l="1"/>
  <c r="C40" i="3"/>
  <c r="B57" i="2"/>
  <c r="B59" i="2"/>
  <c r="D30" i="3"/>
  <c r="D41" i="3" s="1"/>
  <c r="C54" i="3"/>
  <c r="D54" i="3" s="1"/>
  <c r="B59" i="3"/>
  <c r="B52" i="3"/>
  <c r="E33" i="3"/>
  <c r="F33" i="3" s="1"/>
  <c r="C54" i="2"/>
  <c r="D54" i="2" s="1"/>
  <c r="C56" i="2"/>
  <c r="D56" i="2" s="1"/>
  <c r="B56" i="2"/>
  <c r="B58" i="3"/>
  <c r="B53" i="3"/>
  <c r="C50" i="3"/>
  <c r="D50" i="3" s="1"/>
  <c r="B58" i="2"/>
  <c r="C57" i="2"/>
  <c r="D57" i="2" s="1"/>
  <c r="B53" i="2"/>
  <c r="C55" i="2"/>
  <c r="D55" i="2" s="1"/>
  <c r="B55" i="2"/>
  <c r="C58" i="2"/>
  <c r="D58" i="2" s="1"/>
  <c r="C56" i="3"/>
  <c r="D56" i="3" s="1"/>
  <c r="B49" i="3"/>
  <c r="C49" i="3"/>
  <c r="D49" i="3" s="1"/>
  <c r="C59" i="3"/>
  <c r="D59" i="3" s="1"/>
  <c r="C59" i="2"/>
  <c r="D59" i="2" s="1"/>
  <c r="D37" i="3"/>
  <c r="D38" i="3" s="1"/>
  <c r="D40" i="3" s="1"/>
  <c r="B54" i="2"/>
  <c r="C53" i="2"/>
  <c r="D53" i="2" s="1"/>
  <c r="C50" i="2"/>
  <c r="D50" i="2" s="1"/>
  <c r="C52" i="2"/>
  <c r="D52" i="2" s="1"/>
  <c r="B52" i="2"/>
  <c r="E33" i="2"/>
  <c r="F33" i="2" s="1"/>
  <c r="D27" i="2"/>
  <c r="B54" i="3"/>
  <c r="C57" i="3"/>
  <c r="D57" i="3" s="1"/>
  <c r="C58" i="3"/>
  <c r="D58" i="3" s="1"/>
  <c r="B49" i="2"/>
  <c r="C51" i="2"/>
  <c r="D51" i="2" s="1"/>
  <c r="D39" i="3"/>
  <c r="C52" i="3"/>
  <c r="D52" i="3" s="1"/>
  <c r="B56" i="3"/>
  <c r="D32" i="2" l="1"/>
  <c r="D30" i="2"/>
  <c r="D41" i="2" s="1"/>
  <c r="D37" i="2"/>
  <c r="D38" i="2" s="1"/>
  <c r="D39" i="2"/>
  <c r="F29" i="2"/>
  <c r="F31" i="3"/>
  <c r="F38" i="3"/>
  <c r="F38" i="2" l="1"/>
  <c r="F31" i="2"/>
  <c r="D40" i="2"/>
</calcChain>
</file>

<file path=xl/sharedStrings.xml><?xml version="1.0" encoding="utf-8"?>
<sst xmlns="http://schemas.openxmlformats.org/spreadsheetml/2006/main" count="171" uniqueCount="70">
  <si>
    <t>&gt; The Viewing Ratio is calculated as the Farthest Viewer/Image Height.</t>
  </si>
  <si>
    <t>&gt; The calculations are unit consistent.  Do not mix feet and inches or millimeters and any other metric options.</t>
  </si>
  <si>
    <t xml:space="preserve"> for ADM</t>
  </si>
  <si>
    <t>Acuity Factor</t>
  </si>
  <si>
    <t>Farthest</t>
  </si>
  <si>
    <t>Minimum</t>
  </si>
  <si>
    <t>Maximum</t>
  </si>
  <si>
    <t>Viewer</t>
  </si>
  <si>
    <t>Image Height</t>
  </si>
  <si>
    <t>Image Resolution</t>
  </si>
  <si>
    <t>Farthest Viewer</t>
  </si>
  <si>
    <t>Viewing Ratio</t>
  </si>
  <si>
    <t>[Radians=Degrees * PI()/180]</t>
  </si>
  <si>
    <t>Acuity MOA</t>
  </si>
  <si>
    <t xml:space="preserve">TO FIND: </t>
  </si>
  <si>
    <t xml:space="preserve">Vertical Image Resolution  </t>
  </si>
  <si>
    <t xml:space="preserve">Copyright© 2016 InfoComm International </t>
  </si>
  <si>
    <t>Display Image Size for 2D Content in Audiovisual Systems (ANSI/INFOCOMM V202.01:2016)</t>
  </si>
  <si>
    <t>This is a unitless calculator! Be consistent with your measurement unit (i.e., inches to inches, meters to meters)</t>
  </si>
  <si>
    <t xml:space="preserve"> </t>
  </si>
  <si>
    <t>Mixing unit types will yield invalid results</t>
  </si>
  <si>
    <t>&gt; The %Element Height required is calculated by taking the Viewing Ratio/Acuity Factor.</t>
  </si>
  <si>
    <t>&gt; Note that if you are entering a %Element Height less than 1%, you need to enter it as 0.XX.</t>
  </si>
  <si>
    <t>&gt; The Nominal Viewing Depth is calculated by taking the Farthest Viewer minus the Closest Viewer.</t>
  </si>
  <si>
    <t>&gt; Standard Eye Level is defined as 48" (1220mm) for a seated viewer and 60" (1525mm) for a standing viewer.</t>
  </si>
  <si>
    <t>&gt; Some simple error traps have been included to warn you of numeric inconsistencies you might produce.</t>
  </si>
  <si>
    <t xml:space="preserve"> for BDM</t>
  </si>
  <si>
    <t>Standard Eye Level - Use consistent units.</t>
  </si>
  <si>
    <t>Image Aspect Ratio - Express as X.XX:1</t>
  </si>
  <si>
    <t>%Element Height</t>
  </si>
  <si>
    <t>Error Messages</t>
  </si>
  <si>
    <t>Distance from floor to
bottom of image</t>
  </si>
  <si>
    <t>Image Offset</t>
  </si>
  <si>
    <t>Image Width</t>
  </si>
  <si>
    <t>Minimum %Element</t>
  </si>
  <si>
    <t>Vertical Viewing Factor</t>
  </si>
  <si>
    <t>Closest Viewer</t>
  </si>
  <si>
    <t>Nominal Viewing Depth</t>
  </si>
  <si>
    <t>Max. Length of CV Plane</t>
  </si>
  <si>
    <t>For BDM Acuity of 200</t>
  </si>
  <si>
    <t>The minimum</t>
  </si>
  <si>
    <t xml:space="preserve">If the </t>
  </si>
  <si>
    <t>should be</t>
  </si>
  <si>
    <t>is at least</t>
  </si>
  <si>
    <t>but no more than</t>
  </si>
  <si>
    <t>at least</t>
  </si>
  <si>
    <t>The Image Offset and Image Aspect Ratio are used in the Closest Viewer calculations and are required to be entered for all calculations.</t>
  </si>
  <si>
    <t xml:space="preserve">Three elements make up the BDM calculations.  If you know of or specify two elements, you can calculate the third. </t>
  </si>
  <si>
    <t>Determine what you want to find and then fill out the blue cells in the appropriate column to get your answers.</t>
  </si>
  <si>
    <t xml:space="preserve">NOTE: </t>
  </si>
  <si>
    <t xml:space="preserve">Analytical Decision-Making (ADM) Calculations </t>
  </si>
  <si>
    <t xml:space="preserve">InfoComm International thanks Dick Tollberg, CTS-D for his mathematical </t>
  </si>
  <si>
    <t xml:space="preserve">expertise and contributions to this task group work. </t>
  </si>
  <si>
    <t xml:space="preserve">(4:3 equals 1.33:1, 16:9 equals 1.78:1, etc.) </t>
  </si>
  <si>
    <t xml:space="preserve">Basic Decision Making (BDM) Calculations </t>
  </si>
  <si>
    <t xml:space="preserve">CLOSEST VIEWER </t>
  </si>
  <si>
    <t xml:space="preserve">TO FIND </t>
  </si>
  <si>
    <t>Do not add measurement labels (", mm)</t>
  </si>
  <si>
    <t xml:space="preserve">Image Aspect Ratio - Express as X.XX </t>
  </si>
  <si>
    <t>Enter values in BLUE BOX</t>
  </si>
  <si>
    <t>Do not add measurement labels (", mm,%)</t>
  </si>
  <si>
    <t>This is a workpiece from my DISCAS task group and is courtesy of AVIXA.</t>
  </si>
  <si>
    <t>https://www.avixa.org/standards/discas-calculators</t>
  </si>
  <si>
    <t xml:space="preserve">It is a standalone version of the online calculator, which is free and you'll find here - </t>
  </si>
  <si>
    <t>www.avixa.org</t>
  </si>
  <si>
    <t>I use it personally in case I have no internet connection, but its accuracy is not guaranteed in the same way the online version is.</t>
  </si>
  <si>
    <t>Any comments etc, please email me, but please always credit AVIXA every time - let's get these standards used universally!</t>
  </si>
  <si>
    <t>Greg Jeffreys</t>
  </si>
  <si>
    <t>greg@visualdisplaysltd.com</t>
  </si>
  <si>
    <t>www.VisualDisplaysLtd.com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</si>
</sst>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E85B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 applyProtection="1"/>
    <xf numFmtId="2" fontId="0" fillId="2" borderId="1" xfId="0" applyNumberFormat="1" applyFill="1" applyBorder="1" applyProtection="1"/>
    <xf numFmtId="0" fontId="0" fillId="2" borderId="1" xfId="0" applyFill="1" applyBorder="1" applyProtection="1"/>
    <xf numFmtId="0" fontId="0" fillId="0" borderId="0" xfId="0" applyBorder="1" applyProtection="1"/>
    <xf numFmtId="0" fontId="0" fillId="2" borderId="0" xfId="0" applyFill="1" applyBorder="1" applyProtection="1"/>
    <xf numFmtId="0" fontId="1" fillId="0" borderId="0" xfId="0" applyFont="1" applyBorder="1" applyAlignment="1" applyProtection="1">
      <alignment horizontal="center"/>
    </xf>
    <xf numFmtId="2" fontId="0" fillId="2" borderId="0" xfId="0" applyNumberFormat="1" applyFill="1" applyBorder="1" applyProtection="1"/>
    <xf numFmtId="0" fontId="0" fillId="0" borderId="3" xfId="0" applyBorder="1" applyAlignment="1" applyProtection="1">
      <alignment horizontal="right"/>
    </xf>
    <xf numFmtId="0" fontId="4" fillId="3" borderId="5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0" xfId="0" applyBorder="1"/>
    <xf numFmtId="0" fontId="0" fillId="0" borderId="13" xfId="0" applyBorder="1"/>
    <xf numFmtId="0" fontId="0" fillId="0" borderId="13" xfId="0" applyBorder="1" applyProtection="1"/>
    <xf numFmtId="0" fontId="0" fillId="0" borderId="3" xfId="0" applyBorder="1" applyProtection="1"/>
    <xf numFmtId="0" fontId="0" fillId="0" borderId="0" xfId="0" applyFill="1" applyBorder="1" applyProtection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  <protection locked="0"/>
    </xf>
    <xf numFmtId="0" fontId="0" fillId="0" borderId="7" xfId="0" applyBorder="1" applyProtection="1"/>
    <xf numFmtId="0" fontId="0" fillId="0" borderId="8" xfId="0" applyBorder="1" applyProtection="1"/>
    <xf numFmtId="0" fontId="0" fillId="0" borderId="1" xfId="0" applyFill="1" applyBorder="1" applyAlignment="1" applyProtection="1">
      <alignment horizontal="center"/>
    </xf>
    <xf numFmtId="0" fontId="7" fillId="0" borderId="9" xfId="0" quotePrefix="1" applyFont="1" applyBorder="1" applyProtection="1"/>
    <xf numFmtId="0" fontId="0" fillId="2" borderId="1" xfId="0" applyFill="1" applyBorder="1" applyAlignment="1" applyProtection="1">
      <alignment horizontal="center"/>
    </xf>
    <xf numFmtId="0" fontId="0" fillId="0" borderId="9" xfId="0" applyBorder="1" applyProtection="1"/>
    <xf numFmtId="0" fontId="0" fillId="0" borderId="1" xfId="0" applyBorder="1" applyAlignment="1" applyProtection="1">
      <alignment horizontal="center"/>
    </xf>
    <xf numFmtId="0" fontId="0" fillId="0" borderId="9" xfId="0" quotePrefix="1" applyBorder="1" applyProtection="1"/>
    <xf numFmtId="2" fontId="0" fillId="2" borderId="1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0" fontId="0" fillId="2" borderId="32" xfId="0" applyNumberFormat="1" applyFill="1" applyBorder="1" applyAlignment="1" applyProtection="1">
      <alignment horizontal="center"/>
    </xf>
    <xf numFmtId="0" fontId="0" fillId="0" borderId="10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6" xfId="0" applyBorder="1" applyProtection="1"/>
    <xf numFmtId="0" fontId="0" fillId="2" borderId="27" xfId="0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19" xfId="0" applyNumberFormat="1" applyFill="1" applyBorder="1" applyAlignment="1" applyProtection="1">
      <alignment horizontal="center"/>
    </xf>
    <xf numFmtId="164" fontId="0" fillId="2" borderId="34" xfId="0" applyNumberFormat="1" applyFill="1" applyBorder="1" applyAlignment="1" applyProtection="1">
      <alignment horizontal="center"/>
    </xf>
    <xf numFmtId="164" fontId="0" fillId="2" borderId="35" xfId="0" applyNumberFormat="1" applyFill="1" applyBorder="1" applyAlignment="1" applyProtection="1">
      <alignment horizontal="center"/>
    </xf>
    <xf numFmtId="0" fontId="0" fillId="0" borderId="36" xfId="0" applyBorder="1" applyProtection="1"/>
    <xf numFmtId="0" fontId="0" fillId="2" borderId="3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2" fontId="0" fillId="0" borderId="0" xfId="0" applyNumberFormat="1" applyFill="1" applyBorder="1" applyProtection="1">
      <protection locked="0"/>
    </xf>
    <xf numFmtId="0" fontId="5" fillId="0" borderId="2" xfId="0" applyFont="1" applyBorder="1" applyProtection="1"/>
    <xf numFmtId="0" fontId="1" fillId="0" borderId="3" xfId="0" applyFont="1" applyBorder="1"/>
    <xf numFmtId="0" fontId="0" fillId="0" borderId="15" xfId="0" applyBorder="1" applyProtection="1"/>
    <xf numFmtId="0" fontId="6" fillId="0" borderId="17" xfId="0" applyFont="1" applyBorder="1"/>
    <xf numFmtId="0" fontId="0" fillId="0" borderId="25" xfId="0" applyFill="1" applyBorder="1" applyProtection="1"/>
    <xf numFmtId="0" fontId="0" fillId="0" borderId="28" xfId="0" applyFill="1" applyBorder="1" applyAlignment="1" applyProtection="1">
      <alignment wrapText="1"/>
    </xf>
    <xf numFmtId="0" fontId="0" fillId="0" borderId="14" xfId="0" applyFill="1" applyBorder="1" applyProtection="1"/>
    <xf numFmtId="0" fontId="0" fillId="0" borderId="30" xfId="0" applyFill="1" applyBorder="1" applyProtection="1"/>
    <xf numFmtId="0" fontId="0" fillId="0" borderId="33" xfId="0" applyFill="1" applyBorder="1" applyProtection="1"/>
    <xf numFmtId="0" fontId="0" fillId="0" borderId="12" xfId="0" applyBorder="1" applyProtection="1"/>
    <xf numFmtId="0" fontId="1" fillId="0" borderId="13" xfId="0" applyFont="1" applyBorder="1" applyAlignment="1" applyProtection="1">
      <alignment horizont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/>
    </xf>
    <xf numFmtId="0" fontId="4" fillId="3" borderId="40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right"/>
    </xf>
    <xf numFmtId="0" fontId="4" fillId="3" borderId="22" xfId="0" applyFont="1" applyFill="1" applyBorder="1" applyAlignment="1" applyProtection="1">
      <alignment horizontal="right"/>
    </xf>
    <xf numFmtId="0" fontId="1" fillId="0" borderId="15" xfId="0" applyFont="1" applyBorder="1"/>
    <xf numFmtId="0" fontId="1" fillId="0" borderId="44" xfId="0" applyFont="1" applyFill="1" applyBorder="1" applyAlignment="1" applyProtection="1">
      <alignment horizontal="right"/>
    </xf>
    <xf numFmtId="0" fontId="1" fillId="0" borderId="4" xfId="0" applyFont="1" applyBorder="1"/>
    <xf numFmtId="0" fontId="1" fillId="0" borderId="26" xfId="0" applyFont="1" applyFill="1" applyBorder="1" applyAlignment="1" applyProtection="1">
      <alignment horizontal="right"/>
    </xf>
    <xf numFmtId="164" fontId="0" fillId="6" borderId="37" xfId="0" applyNumberFormat="1" applyFill="1" applyBorder="1" applyProtection="1">
      <protection locked="0"/>
    </xf>
    <xf numFmtId="2" fontId="0" fillId="6" borderId="39" xfId="0" applyNumberFormat="1" applyFill="1" applyBorder="1" applyProtection="1"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0" fillId="6" borderId="29" xfId="0" applyFill="1" applyBorder="1" applyAlignment="1" applyProtection="1">
      <alignment horizontal="center"/>
      <protection locked="0"/>
    </xf>
    <xf numFmtId="10" fontId="0" fillId="6" borderId="31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2" fillId="0" borderId="11" xfId="0" applyFont="1" applyBorder="1" applyProtection="1"/>
    <xf numFmtId="0" fontId="0" fillId="0" borderId="11" xfId="0" applyBorder="1" applyProtection="1"/>
    <xf numFmtId="0" fontId="0" fillId="0" borderId="11" xfId="0" applyBorder="1" applyAlignment="1" applyProtection="1">
      <alignment horizontal="right"/>
    </xf>
    <xf numFmtId="0" fontId="0" fillId="0" borderId="3" xfId="0" applyBorder="1" applyAlignment="1" applyProtection="1">
      <alignment horizontal="left" indent="3"/>
    </xf>
    <xf numFmtId="0" fontId="0" fillId="0" borderId="3" xfId="0" applyFill="1" applyBorder="1" applyProtection="1"/>
    <xf numFmtId="0" fontId="1" fillId="0" borderId="33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1" fontId="0" fillId="0" borderId="0" xfId="0" applyNumberFormat="1" applyBorder="1" applyProtection="1"/>
    <xf numFmtId="2" fontId="0" fillId="0" borderId="25" xfId="0" applyNumberFormat="1" applyFill="1" applyBorder="1" applyAlignment="1" applyProtection="1">
      <alignment horizontal="center"/>
    </xf>
    <xf numFmtId="2" fontId="0" fillId="0" borderId="26" xfId="0" applyNumberFormat="1" applyFill="1" applyBorder="1" applyAlignment="1" applyProtection="1">
      <alignment horizontal="center"/>
    </xf>
    <xf numFmtId="10" fontId="0" fillId="0" borderId="37" xfId="0" applyNumberFormat="1" applyFill="1" applyBorder="1" applyAlignment="1" applyProtection="1">
      <alignment horizontal="center"/>
    </xf>
    <xf numFmtId="2" fontId="0" fillId="0" borderId="14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10" fontId="0" fillId="0" borderId="38" xfId="0" applyNumberFormat="1" applyFill="1" applyBorder="1" applyAlignment="1" applyProtection="1">
      <alignment horizontal="center"/>
    </xf>
    <xf numFmtId="2" fontId="0" fillId="0" borderId="30" xfId="0" applyNumberFormat="1" applyFill="1" applyBorder="1" applyAlignment="1" applyProtection="1">
      <alignment horizontal="center"/>
    </xf>
    <xf numFmtId="2" fontId="0" fillId="0" borderId="31" xfId="0" applyNumberFormat="1" applyFill="1" applyBorder="1" applyAlignment="1" applyProtection="1">
      <alignment horizontal="center"/>
    </xf>
    <xf numFmtId="10" fontId="0" fillId="0" borderId="39" xfId="0" applyNumberForma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6" fillId="0" borderId="13" xfId="0" applyFont="1" applyBorder="1"/>
    <xf numFmtId="0" fontId="4" fillId="3" borderId="18" xfId="0" applyFont="1" applyFill="1" applyBorder="1" applyAlignment="1" applyProtection="1">
      <alignment horizontal="center"/>
    </xf>
    <xf numFmtId="164" fontId="4" fillId="2" borderId="9" xfId="0" applyNumberFormat="1" applyFont="1" applyFill="1" applyBorder="1" applyAlignment="1" applyProtection="1">
      <alignment horizontal="center"/>
    </xf>
    <xf numFmtId="1" fontId="4" fillId="0" borderId="9" xfId="0" applyNumberFormat="1" applyFont="1" applyFill="1" applyBorder="1" applyAlignment="1" applyProtection="1">
      <alignment horizontal="center"/>
    </xf>
    <xf numFmtId="0" fontId="10" fillId="7" borderId="3" xfId="0" applyFont="1" applyFill="1" applyBorder="1" applyProtection="1"/>
    <xf numFmtId="0" fontId="11" fillId="0" borderId="2" xfId="0" applyFont="1" applyBorder="1" applyAlignment="1" applyProtection="1">
      <alignment horizontal="center" wrapText="1"/>
    </xf>
    <xf numFmtId="0" fontId="0" fillId="8" borderId="26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10" fontId="0" fillId="9" borderId="38" xfId="0" applyNumberFormat="1" applyFill="1" applyBorder="1" applyAlignment="1" applyProtection="1">
      <alignment horizontal="center"/>
    </xf>
    <xf numFmtId="10" fontId="0" fillId="9" borderId="32" xfId="0" applyNumberForma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0" xfId="0" applyAlignment="1">
      <alignment wrapText="1"/>
    </xf>
    <xf numFmtId="0" fontId="12" fillId="0" borderId="0" xfId="1" applyAlignment="1">
      <alignment wrapText="1"/>
    </xf>
  </cellXfs>
  <cellStyles count="2">
    <cellStyle name="Hyperlink" xfId="1" builtinId="8"/>
    <cellStyle name="Normal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BE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3225800</xdr:colOff>
      <xdr:row>10</xdr:row>
      <xdr:rowOff>1791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8876BD-F6E9-4FAD-BA4C-F71E1EC9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225800" cy="1843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57</xdr:row>
      <xdr:rowOff>142875</xdr:rowOff>
    </xdr:from>
    <xdr:to>
      <xdr:col>6</xdr:col>
      <xdr:colOff>600075</xdr:colOff>
      <xdr:row>61</xdr:row>
      <xdr:rowOff>57149</xdr:rowOff>
    </xdr:to>
    <xdr:pic>
      <xdr:nvPicPr>
        <xdr:cNvPr id="2" name="Picture 1" descr="II Head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4766"/>
        <a:stretch/>
      </xdr:blipFill>
      <xdr:spPr bwMode="auto">
        <a:xfrm>
          <a:off x="6372225" y="11296650"/>
          <a:ext cx="1866900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352426</xdr:colOff>
      <xdr:row>27</xdr:row>
      <xdr:rowOff>66675</xdr:rowOff>
    </xdr:from>
    <xdr:to>
      <xdr:col>6</xdr:col>
      <xdr:colOff>1962150</xdr:colOff>
      <xdr:row>29</xdr:row>
      <xdr:rowOff>180974</xdr:rowOff>
    </xdr:to>
    <xdr:pic>
      <xdr:nvPicPr>
        <xdr:cNvPr id="2" name="Picture 1" descr="II Head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4766"/>
        <a:stretch/>
      </xdr:blipFill>
      <xdr:spPr bwMode="auto">
        <a:xfrm>
          <a:off x="7019926" y="5257800"/>
          <a:ext cx="1609724" cy="495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59</xdr:row>
      <xdr:rowOff>38101</xdr:rowOff>
    </xdr:from>
    <xdr:ext cx="1752600" cy="571500"/>
    <xdr:pic>
      <xdr:nvPicPr>
        <xdr:cNvPr id="2" name="Picture 1" descr="II Heade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4766"/>
        <a:stretch/>
      </xdr:blipFill>
      <xdr:spPr bwMode="auto">
        <a:xfrm>
          <a:off x="6134100" y="12334876"/>
          <a:ext cx="1752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238125</xdr:colOff>
      <xdr:row>41</xdr:row>
      <xdr:rowOff>171450</xdr:rowOff>
    </xdr:from>
    <xdr:to>
      <xdr:col>6</xdr:col>
      <xdr:colOff>266700</xdr:colOff>
      <xdr:row>59</xdr:row>
      <xdr:rowOff>92075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64"/>
        <a:stretch/>
      </xdr:blipFill>
      <xdr:spPr bwMode="auto">
        <a:xfrm>
          <a:off x="4953000" y="9020175"/>
          <a:ext cx="2952750" cy="336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eg@visualdisplaysltd.com" TargetMode="External"/><Relationship Id="rId2" Type="http://schemas.openxmlformats.org/officeDocument/2006/relationships/hyperlink" Target="http://www.avixa.org/" TargetMode="External"/><Relationship Id="rId1" Type="http://schemas.openxmlformats.org/officeDocument/2006/relationships/hyperlink" Target="https://www.avixa.org/standards/discas-calculator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visualdisplayslt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420C-2A58-4952-B44F-458ECAF991E4}">
  <dimension ref="A12:A23"/>
  <sheetViews>
    <sheetView tabSelected="1" workbookViewId="0">
      <selection activeCell="A26" sqref="A26"/>
    </sheetView>
  </sheetViews>
  <sheetFormatPr defaultRowHeight="14.35" x14ac:dyDescent="0.5"/>
  <cols>
    <col min="1" max="1" width="59.8203125" style="132" bestFit="1" customWidth="1"/>
  </cols>
  <sheetData>
    <row r="12" spans="1:1" x14ac:dyDescent="0.5">
      <c r="A12" s="132" t="s">
        <v>61</v>
      </c>
    </row>
    <row r="13" spans="1:1" ht="28.7" x14ac:dyDescent="0.5">
      <c r="A13" s="132" t="s">
        <v>63</v>
      </c>
    </row>
    <row r="14" spans="1:1" x14ac:dyDescent="0.5">
      <c r="A14" s="133" t="s">
        <v>62</v>
      </c>
    </row>
    <row r="15" spans="1:1" x14ac:dyDescent="0.5">
      <c r="A15" s="133" t="s">
        <v>64</v>
      </c>
    </row>
    <row r="17" spans="1:1" ht="28.7" x14ac:dyDescent="0.5">
      <c r="A17" s="132" t="s">
        <v>65</v>
      </c>
    </row>
    <row r="19" spans="1:1" ht="28.7" x14ac:dyDescent="0.5">
      <c r="A19" s="132" t="s">
        <v>66</v>
      </c>
    </row>
    <row r="21" spans="1:1" x14ac:dyDescent="0.5">
      <c r="A21" s="132" t="s">
        <v>67</v>
      </c>
    </row>
    <row r="22" spans="1:1" x14ac:dyDescent="0.5">
      <c r="A22" s="133" t="s">
        <v>68</v>
      </c>
    </row>
    <row r="23" spans="1:1" x14ac:dyDescent="0.5">
      <c r="A23" s="133" t="s">
        <v>69</v>
      </c>
    </row>
  </sheetData>
  <hyperlinks>
    <hyperlink ref="A14" r:id="rId1" xr:uid="{15CE7710-D276-4C2C-A370-5FD571645D5A}"/>
    <hyperlink ref="A15" r:id="rId2" xr:uid="{4DF19A6E-8AD8-436F-9BE2-DD1AF85D480F}"/>
    <hyperlink ref="A22" r:id="rId3" xr:uid="{00A5EB23-6AC7-4A8E-AA8C-ECE4EFBFF8DA}"/>
    <hyperlink ref="A23" r:id="rId4" xr:uid="{89A362CC-7537-40C7-9352-6BC1CE1B7DE6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3"/>
  <sheetViews>
    <sheetView zoomScale="90" zoomScaleNormal="90" zoomScalePageLayoutView="150" workbookViewId="0">
      <selection activeCell="C33" sqref="C33"/>
    </sheetView>
  </sheetViews>
  <sheetFormatPr defaultColWidth="8.8203125" defaultRowHeight="14.35" x14ac:dyDescent="0.5"/>
  <cols>
    <col min="1" max="1" width="4.3515625" customWidth="1"/>
    <col min="2" max="2" width="24.17578125" customWidth="1"/>
    <col min="3" max="3" width="21.64453125" customWidth="1"/>
    <col min="4" max="4" width="20.46875" customWidth="1"/>
    <col min="5" max="5" width="19.64453125" customWidth="1"/>
    <col min="6" max="6" width="24.17578125" customWidth="1"/>
    <col min="7" max="7" width="10.3515625" customWidth="1"/>
  </cols>
  <sheetData>
    <row r="1" spans="2:7" ht="14.7" thickBot="1" x14ac:dyDescent="0.55000000000000004"/>
    <row r="2" spans="2:7" ht="20.7" x14ac:dyDescent="0.7">
      <c r="B2" s="62" t="s">
        <v>54</v>
      </c>
      <c r="C2" s="95"/>
      <c r="D2" s="96"/>
      <c r="E2" s="96"/>
      <c r="F2" s="97"/>
      <c r="G2" s="20"/>
    </row>
    <row r="3" spans="2:7" x14ac:dyDescent="0.5">
      <c r="B3" s="63" t="s">
        <v>17</v>
      </c>
      <c r="C3" s="22"/>
      <c r="D3" s="22"/>
      <c r="E3" s="22"/>
      <c r="F3" s="22"/>
      <c r="G3" s="23"/>
    </row>
    <row r="4" spans="2:7" x14ac:dyDescent="0.5">
      <c r="B4" s="25"/>
      <c r="C4" s="4"/>
      <c r="D4" s="4"/>
      <c r="E4" s="4"/>
      <c r="F4" s="4"/>
      <c r="G4" s="23"/>
    </row>
    <row r="5" spans="2:7" x14ac:dyDescent="0.5">
      <c r="B5" s="25" t="s">
        <v>47</v>
      </c>
      <c r="C5" s="4"/>
      <c r="D5" s="4"/>
      <c r="E5" s="4"/>
      <c r="F5" s="4"/>
      <c r="G5" s="23"/>
    </row>
    <row r="6" spans="2:7" x14ac:dyDescent="0.5">
      <c r="B6" s="25" t="s">
        <v>46</v>
      </c>
      <c r="C6" s="4"/>
      <c r="D6" s="4"/>
      <c r="E6" s="4"/>
      <c r="F6" s="4"/>
      <c r="G6" s="23"/>
    </row>
    <row r="7" spans="2:7" x14ac:dyDescent="0.5">
      <c r="B7" s="25" t="s">
        <v>48</v>
      </c>
      <c r="C7" s="4"/>
      <c r="D7" s="4"/>
      <c r="E7" s="4"/>
      <c r="F7" s="4"/>
      <c r="G7" s="23"/>
    </row>
    <row r="8" spans="2:7" x14ac:dyDescent="0.5">
      <c r="B8" s="25"/>
      <c r="C8" s="4"/>
      <c r="D8" s="4"/>
      <c r="E8" s="4"/>
      <c r="F8" s="4"/>
      <c r="G8" s="23"/>
    </row>
    <row r="9" spans="2:7" x14ac:dyDescent="0.5">
      <c r="B9" s="98" t="s">
        <v>49</v>
      </c>
      <c r="C9" s="4"/>
      <c r="D9" s="4"/>
      <c r="E9" s="4"/>
      <c r="F9" s="4"/>
      <c r="G9" s="23"/>
    </row>
    <row r="10" spans="2:7" x14ac:dyDescent="0.5">
      <c r="B10" s="98" t="s">
        <v>21</v>
      </c>
      <c r="C10" s="4"/>
      <c r="D10" s="4"/>
      <c r="E10" s="4"/>
      <c r="F10" s="4"/>
      <c r="G10" s="23"/>
    </row>
    <row r="11" spans="2:7" x14ac:dyDescent="0.5">
      <c r="B11" s="98" t="s">
        <v>22</v>
      </c>
      <c r="C11" s="4"/>
      <c r="D11" s="4"/>
      <c r="E11" s="4"/>
      <c r="F11" s="4"/>
      <c r="G11" s="23"/>
    </row>
    <row r="12" spans="2:7" x14ac:dyDescent="0.5">
      <c r="B12" s="98" t="s">
        <v>23</v>
      </c>
      <c r="C12" s="4"/>
      <c r="D12" s="4"/>
      <c r="E12" s="4"/>
      <c r="F12" s="4"/>
      <c r="G12" s="23"/>
    </row>
    <row r="13" spans="2:7" x14ac:dyDescent="0.5">
      <c r="B13" s="98" t="s">
        <v>24</v>
      </c>
      <c r="C13" s="4"/>
      <c r="D13" s="4"/>
      <c r="E13" s="4"/>
      <c r="F13" s="4"/>
      <c r="G13" s="23"/>
    </row>
    <row r="14" spans="2:7" x14ac:dyDescent="0.5">
      <c r="B14" s="98" t="s">
        <v>1</v>
      </c>
      <c r="C14" s="4"/>
      <c r="D14" s="4"/>
      <c r="E14" s="4"/>
      <c r="F14" s="4"/>
      <c r="G14" s="23"/>
    </row>
    <row r="15" spans="2:7" x14ac:dyDescent="0.5">
      <c r="B15" s="98" t="s">
        <v>25</v>
      </c>
      <c r="C15" s="4"/>
      <c r="D15" s="4"/>
      <c r="E15" s="4"/>
      <c r="F15" s="4"/>
      <c r="G15" s="23"/>
    </row>
    <row r="16" spans="2:7" x14ac:dyDescent="0.5">
      <c r="B16" s="98" t="s">
        <v>0</v>
      </c>
      <c r="C16" s="4"/>
      <c r="D16" s="4"/>
      <c r="E16" s="4"/>
      <c r="F16" s="4"/>
      <c r="G16" s="23"/>
    </row>
    <row r="17" spans="2:11" x14ac:dyDescent="0.5">
      <c r="B17" s="25"/>
      <c r="C17" s="4"/>
      <c r="D17" s="4"/>
      <c r="E17" s="4"/>
      <c r="F17" s="4"/>
      <c r="G17" s="23"/>
      <c r="K17" t="s">
        <v>19</v>
      </c>
    </row>
    <row r="18" spans="2:11" hidden="1" x14ac:dyDescent="0.5">
      <c r="B18" s="21"/>
      <c r="C18" s="1" t="s">
        <v>13</v>
      </c>
      <c r="D18" s="2">
        <v>17.25</v>
      </c>
      <c r="E18" s="4" t="s">
        <v>26</v>
      </c>
      <c r="F18" s="4"/>
      <c r="G18" s="23"/>
    </row>
    <row r="19" spans="2:11" hidden="1" x14ac:dyDescent="0.5">
      <c r="B19" s="21"/>
      <c r="C19" s="1" t="s">
        <v>3</v>
      </c>
      <c r="D19" s="3">
        <f>ROUNDUP(0.5/TAN((($D$18/120)*(PI()/180))),0)</f>
        <v>200</v>
      </c>
      <c r="E19" s="4" t="s">
        <v>26</v>
      </c>
      <c r="F19" s="4"/>
      <c r="G19" s="23"/>
    </row>
    <row r="20" spans="2:11" ht="14.7" thickBot="1" x14ac:dyDescent="0.55000000000000004">
      <c r="B20" s="25"/>
      <c r="C20" s="4"/>
      <c r="D20" s="4"/>
      <c r="E20" s="4"/>
      <c r="F20" s="4"/>
      <c r="G20" s="23"/>
    </row>
    <row r="21" spans="2:11" x14ac:dyDescent="0.5">
      <c r="B21" s="86"/>
      <c r="C21" s="87" t="s">
        <v>27</v>
      </c>
      <c r="D21" s="88">
        <v>1220</v>
      </c>
      <c r="E21" s="4"/>
      <c r="F21" s="4"/>
      <c r="G21" s="23"/>
    </row>
    <row r="22" spans="2:11" ht="14.7" thickBot="1" x14ac:dyDescent="0.55000000000000004">
      <c r="B22" s="84"/>
      <c r="C22" s="85" t="s">
        <v>28</v>
      </c>
      <c r="D22" s="89">
        <v>1.78</v>
      </c>
      <c r="E22" s="4" t="s">
        <v>53</v>
      </c>
      <c r="F22" s="4"/>
      <c r="G22" s="23"/>
    </row>
    <row r="23" spans="2:11" ht="14.7" thickBot="1" x14ac:dyDescent="0.55000000000000004">
      <c r="B23" s="99"/>
      <c r="C23" s="26"/>
      <c r="D23" s="61"/>
      <c r="E23" s="4"/>
      <c r="F23" s="4"/>
      <c r="G23" s="23"/>
    </row>
    <row r="24" spans="2:11" ht="16" thickBot="1" x14ac:dyDescent="0.6">
      <c r="B24" s="25"/>
      <c r="C24" s="79" t="s">
        <v>14</v>
      </c>
      <c r="D24" s="80" t="s">
        <v>14</v>
      </c>
      <c r="E24" s="81" t="s">
        <v>14</v>
      </c>
      <c r="F24" s="4"/>
      <c r="G24" s="23"/>
    </row>
    <row r="25" spans="2:11" ht="29.35" x14ac:dyDescent="0.6">
      <c r="B25" s="112" t="s">
        <v>57</v>
      </c>
      <c r="C25" s="78" t="s">
        <v>4</v>
      </c>
      <c r="D25" s="76" t="s">
        <v>5</v>
      </c>
      <c r="E25" s="77" t="s">
        <v>5</v>
      </c>
      <c r="F25" s="71"/>
      <c r="G25" s="23"/>
    </row>
    <row r="26" spans="2:11" ht="18.350000000000001" thickBot="1" x14ac:dyDescent="0.55000000000000004">
      <c r="B26" s="8"/>
      <c r="C26" s="73" t="s">
        <v>7</v>
      </c>
      <c r="D26" s="74" t="s">
        <v>8</v>
      </c>
      <c r="E26" s="75" t="s">
        <v>29</v>
      </c>
      <c r="F26" s="72" t="s">
        <v>30</v>
      </c>
      <c r="G26" s="23"/>
    </row>
    <row r="27" spans="2:11" x14ac:dyDescent="0.5">
      <c r="B27" s="66" t="s">
        <v>8</v>
      </c>
      <c r="C27" s="90">
        <v>1300</v>
      </c>
      <c r="D27" s="33">
        <f>IF(D33="",0,D31/(D33*D19))</f>
        <v>2000</v>
      </c>
      <c r="E27" s="34">
        <v>1200</v>
      </c>
      <c r="F27" s="35"/>
      <c r="G27" s="23"/>
    </row>
    <row r="28" spans="2:11" ht="28.7" x14ac:dyDescent="0.5">
      <c r="B28" s="67" t="s">
        <v>31</v>
      </c>
      <c r="C28" s="91">
        <v>1220</v>
      </c>
      <c r="D28" s="91">
        <v>1220</v>
      </c>
      <c r="E28" s="91">
        <v>1220</v>
      </c>
      <c r="F28" s="36"/>
      <c r="G28" s="23"/>
    </row>
    <row r="29" spans="2:11" x14ac:dyDescent="0.5">
      <c r="B29" s="68" t="s">
        <v>32</v>
      </c>
      <c r="C29" s="37">
        <f>IF(C28="",0,C28-$D$21)</f>
        <v>0</v>
      </c>
      <c r="D29" s="37">
        <f t="shared" ref="D29:E29" si="0">IF(D28="",0,D28-$D$21)</f>
        <v>0</v>
      </c>
      <c r="E29" s="37">
        <f t="shared" si="0"/>
        <v>0</v>
      </c>
      <c r="F29" s="38" t="str">
        <f>IF(D27="------","",IF(OR(C27+C29&lt;C27/2,D27+D29&lt;D27/2,E27+E29&lt;E27/2),"Too little offset",""))</f>
        <v/>
      </c>
      <c r="G29" s="23"/>
    </row>
    <row r="30" spans="2:11" x14ac:dyDescent="0.5">
      <c r="B30" s="68" t="s">
        <v>33</v>
      </c>
      <c r="C30" s="39">
        <f>IF($D$22="",0,C27*$D$22)</f>
        <v>2314</v>
      </c>
      <c r="D30" s="39">
        <f>IF($D$22="",0,D27*$D$22)</f>
        <v>3560</v>
      </c>
      <c r="E30" s="39">
        <f>IF($D$22="",0,E27*$D$22)</f>
        <v>2136</v>
      </c>
      <c r="F30" s="40"/>
      <c r="G30" s="23"/>
    </row>
    <row r="31" spans="2:11" x14ac:dyDescent="0.5">
      <c r="B31" s="68" t="s">
        <v>10</v>
      </c>
      <c r="C31" s="41">
        <f>C27*C33*200</f>
        <v>10400</v>
      </c>
      <c r="D31" s="93">
        <v>8000</v>
      </c>
      <c r="E31" s="94">
        <v>8000</v>
      </c>
      <c r="F31" s="42" t="str">
        <f>IF(OR($C$31-$C$38&lt;0,$D$31-$D$38&lt;0,$E$31-$E$38&lt;0),"Good viewing undefined","")</f>
        <v/>
      </c>
      <c r="G31" s="23"/>
    </row>
    <row r="32" spans="2:11" x14ac:dyDescent="0.5">
      <c r="B32" s="68" t="s">
        <v>11</v>
      </c>
      <c r="C32" s="43">
        <f>IF(C27=0,0,C31/C27)</f>
        <v>8</v>
      </c>
      <c r="D32" s="43">
        <f>IF(D27=0,0,D31/D27)</f>
        <v>4</v>
      </c>
      <c r="E32" s="44">
        <f>IF(E27=0,0,E31/E27)</f>
        <v>6.666666666666667</v>
      </c>
      <c r="F32" s="40"/>
      <c r="G32" s="23"/>
    </row>
    <row r="33" spans="2:7" ht="14.7" thickBot="1" x14ac:dyDescent="0.55000000000000004">
      <c r="B33" s="69" t="s">
        <v>34</v>
      </c>
      <c r="C33" s="92">
        <v>0.04</v>
      </c>
      <c r="D33" s="92">
        <v>0.02</v>
      </c>
      <c r="E33" s="45">
        <f>IF(E32="------","------",E32/$D$19)</f>
        <v>3.3333333333333333E-2</v>
      </c>
      <c r="F33" s="46" t="str">
        <f>IF(OR($C$33&gt;0.1,$D$33&gt;0.1,$E$33&gt;0.1,$C$33&lt;0,$D$33&lt;0,$E$33&lt;0),"%Element size not in range","")</f>
        <v/>
      </c>
      <c r="G33" s="23"/>
    </row>
    <row r="34" spans="2:7" x14ac:dyDescent="0.5">
      <c r="B34" s="47"/>
      <c r="C34" s="48"/>
      <c r="D34" s="48"/>
      <c r="E34" s="49"/>
      <c r="F34" s="50"/>
      <c r="G34" s="23"/>
    </row>
    <row r="35" spans="2:7" ht="15.7" x14ac:dyDescent="0.55000000000000004">
      <c r="B35" s="82" t="s">
        <v>56</v>
      </c>
      <c r="C35" s="30" t="s">
        <v>4</v>
      </c>
      <c r="D35" s="30" t="s">
        <v>5</v>
      </c>
      <c r="E35" s="31" t="s">
        <v>5</v>
      </c>
      <c r="F35" s="50"/>
      <c r="G35" s="23"/>
    </row>
    <row r="36" spans="2:7" ht="18.350000000000001" thickBot="1" x14ac:dyDescent="0.65">
      <c r="B36" s="83" t="s">
        <v>55</v>
      </c>
      <c r="C36" s="30" t="s">
        <v>7</v>
      </c>
      <c r="D36" s="30" t="s">
        <v>8</v>
      </c>
      <c r="E36" s="31" t="s">
        <v>29</v>
      </c>
      <c r="F36" s="32" t="s">
        <v>30</v>
      </c>
      <c r="G36" s="23"/>
    </row>
    <row r="37" spans="2:7" x14ac:dyDescent="0.5">
      <c r="B37" s="66" t="s">
        <v>35</v>
      </c>
      <c r="C37" s="33">
        <f>C27+C29</f>
        <v>1300</v>
      </c>
      <c r="D37" s="33">
        <f>D27+D29</f>
        <v>2000</v>
      </c>
      <c r="E37" s="51">
        <f>E27+E29</f>
        <v>1200</v>
      </c>
      <c r="F37" s="35"/>
      <c r="G37" s="23"/>
    </row>
    <row r="38" spans="2:7" x14ac:dyDescent="0.5">
      <c r="B38" s="68" t="s">
        <v>36</v>
      </c>
      <c r="C38" s="52">
        <f>C37*1.732</f>
        <v>2251.6</v>
      </c>
      <c r="D38" s="52">
        <f>D37*1.732</f>
        <v>3464</v>
      </c>
      <c r="E38" s="53">
        <f>E37*1.732</f>
        <v>2078.4</v>
      </c>
      <c r="F38" s="42" t="str">
        <f>IF(OR($C$31-$C$38&lt;0,$D$31-$D$38&lt;0,$E$31-$E$38&lt;0),"Good viewing undefined","")</f>
        <v/>
      </c>
      <c r="G38" s="23"/>
    </row>
    <row r="39" spans="2:7" x14ac:dyDescent="0.5">
      <c r="B39" s="68" t="s">
        <v>11</v>
      </c>
      <c r="C39" s="43">
        <f>IF(C27=0,0,C38/C27)</f>
        <v>1.732</v>
      </c>
      <c r="D39" s="43">
        <f>IF(D27=0,0,D38/D27)</f>
        <v>1.732</v>
      </c>
      <c r="E39" s="44">
        <f>IF(E27=0,0,E38/E27)</f>
        <v>1.732</v>
      </c>
      <c r="F39" s="40"/>
      <c r="G39" s="23"/>
    </row>
    <row r="40" spans="2:7" x14ac:dyDescent="0.5">
      <c r="B40" s="70" t="s">
        <v>37</v>
      </c>
      <c r="C40" s="54">
        <f>C31-C38</f>
        <v>8148.4</v>
      </c>
      <c r="D40" s="54">
        <f t="shared" ref="D40:E40" si="1">D31-D38</f>
        <v>4536</v>
      </c>
      <c r="E40" s="55">
        <f t="shared" si="1"/>
        <v>5921.6</v>
      </c>
      <c r="F40" s="56"/>
      <c r="G40" s="23"/>
    </row>
    <row r="41" spans="2:7" ht="14.7" thickBot="1" x14ac:dyDescent="0.55000000000000004">
      <c r="B41" s="69" t="s">
        <v>38</v>
      </c>
      <c r="C41" s="57">
        <f>IF((6*C27+C29)-C30&lt;0,0,(6*C27+C29)-C30)</f>
        <v>5486</v>
      </c>
      <c r="D41" s="57">
        <f>IF(D27="------","------",IF((6*D27+D29)-D30&lt;0,0,(6*D27+D29)-D30))</f>
        <v>8440</v>
      </c>
      <c r="E41" s="58">
        <f>IF((6*E27+E29)-E30&lt;0,0,(6*E27+E29)-E30)</f>
        <v>5064</v>
      </c>
      <c r="F41" s="46"/>
      <c r="G41" s="23"/>
    </row>
    <row r="42" spans="2:7" x14ac:dyDescent="0.5">
      <c r="B42" s="25"/>
      <c r="C42" s="4"/>
      <c r="D42" s="4"/>
      <c r="E42" s="4"/>
      <c r="F42" s="4"/>
      <c r="G42" s="23"/>
    </row>
    <row r="43" spans="2:7" x14ac:dyDescent="0.5">
      <c r="B43" s="25" t="s">
        <v>12</v>
      </c>
      <c r="C43" s="4"/>
      <c r="D43" s="4"/>
      <c r="E43" s="4"/>
      <c r="F43" s="4"/>
      <c r="G43" s="23"/>
    </row>
    <row r="44" spans="2:7" x14ac:dyDescent="0.5">
      <c r="B44" s="25"/>
      <c r="C44" s="4"/>
      <c r="D44" s="4"/>
      <c r="E44" s="4"/>
      <c r="F44" s="4"/>
      <c r="G44" s="23"/>
    </row>
    <row r="45" spans="2:7" x14ac:dyDescent="0.5">
      <c r="B45" s="100" t="s">
        <v>39</v>
      </c>
      <c r="C45" s="59"/>
      <c r="D45" s="59" t="s">
        <v>40</v>
      </c>
      <c r="E45" s="4"/>
      <c r="F45" s="4"/>
      <c r="G45" s="23"/>
    </row>
    <row r="46" spans="2:7" x14ac:dyDescent="0.5">
      <c r="B46" s="101" t="s">
        <v>41</v>
      </c>
      <c r="C46" s="60"/>
      <c r="D46" s="60" t="s">
        <v>29</v>
      </c>
      <c r="E46" s="4"/>
      <c r="F46" s="4"/>
      <c r="G46" s="23"/>
    </row>
    <row r="47" spans="2:7" x14ac:dyDescent="0.5">
      <c r="B47" s="101" t="s">
        <v>11</v>
      </c>
      <c r="C47" s="60"/>
      <c r="D47" s="60" t="s">
        <v>42</v>
      </c>
      <c r="E47" s="4"/>
      <c r="F47" s="4"/>
      <c r="G47" s="23"/>
    </row>
    <row r="48" spans="2:7" ht="14.7" thickBot="1" x14ac:dyDescent="0.55000000000000004">
      <c r="B48" s="101" t="s">
        <v>43</v>
      </c>
      <c r="C48" s="60" t="s">
        <v>44</v>
      </c>
      <c r="D48" s="60" t="s">
        <v>45</v>
      </c>
      <c r="E48" s="4"/>
      <c r="F48" s="4"/>
      <c r="G48" s="23"/>
    </row>
    <row r="49" spans="2:7" x14ac:dyDescent="0.5">
      <c r="B49" s="103">
        <f>$D$19*0.004</f>
        <v>0.8</v>
      </c>
      <c r="C49" s="104">
        <f>$D$19*0.005</f>
        <v>1</v>
      </c>
      <c r="D49" s="105">
        <f>C49/ROUNDUP($D$19,0)</f>
        <v>5.0000000000000001E-3</v>
      </c>
      <c r="E49" s="102"/>
      <c r="F49" s="4"/>
      <c r="G49" s="23"/>
    </row>
    <row r="50" spans="2:7" x14ac:dyDescent="0.5">
      <c r="B50" s="106">
        <f>$D$19*0.005</f>
        <v>1</v>
      </c>
      <c r="C50" s="107">
        <f>$D$19*0.0075</f>
        <v>1.5</v>
      </c>
      <c r="D50" s="108">
        <f t="shared" ref="D50:D59" si="2">C50/ROUNDUP($D$19,0)</f>
        <v>7.4999999999999997E-3</v>
      </c>
      <c r="E50" s="102"/>
      <c r="F50" s="4"/>
      <c r="G50" s="23"/>
    </row>
    <row r="51" spans="2:7" x14ac:dyDescent="0.5">
      <c r="B51" s="106">
        <f>$D$19*0.0075</f>
        <v>1.5</v>
      </c>
      <c r="C51" s="107">
        <f>$D$19*0.01</f>
        <v>2</v>
      </c>
      <c r="D51" s="108">
        <f t="shared" si="2"/>
        <v>0.01</v>
      </c>
      <c r="E51" s="102"/>
      <c r="F51" s="4"/>
      <c r="G51" s="23"/>
    </row>
    <row r="52" spans="2:7" x14ac:dyDescent="0.5">
      <c r="B52" s="106">
        <f>$D$19*0.01</f>
        <v>2</v>
      </c>
      <c r="C52" s="107">
        <f>$D$19*0.015</f>
        <v>3</v>
      </c>
      <c r="D52" s="108">
        <f t="shared" si="2"/>
        <v>1.4999999999999999E-2</v>
      </c>
      <c r="E52" s="102"/>
      <c r="F52" s="4"/>
      <c r="G52" s="23"/>
    </row>
    <row r="53" spans="2:7" x14ac:dyDescent="0.5">
      <c r="B53" s="106">
        <f>$D$19*0.015</f>
        <v>3</v>
      </c>
      <c r="C53" s="107">
        <f>$D$19*0.02</f>
        <v>4</v>
      </c>
      <c r="D53" s="108">
        <f t="shared" si="2"/>
        <v>0.02</v>
      </c>
      <c r="E53" s="102"/>
      <c r="F53" s="4"/>
      <c r="G53" s="23"/>
    </row>
    <row r="54" spans="2:7" x14ac:dyDescent="0.5">
      <c r="B54" s="106">
        <f>$D$19*0.02</f>
        <v>4</v>
      </c>
      <c r="C54" s="107">
        <f>$D$19*0.025</f>
        <v>5</v>
      </c>
      <c r="D54" s="108">
        <f t="shared" si="2"/>
        <v>2.5000000000000001E-2</v>
      </c>
      <c r="E54" s="102"/>
      <c r="F54" s="4"/>
      <c r="G54" s="23"/>
    </row>
    <row r="55" spans="2:7" x14ac:dyDescent="0.5">
      <c r="B55" s="106">
        <f>$D$19*0.025</f>
        <v>5</v>
      </c>
      <c r="C55" s="107">
        <f>$D$19*0.03</f>
        <v>6</v>
      </c>
      <c r="D55" s="108">
        <f t="shared" si="2"/>
        <v>0.03</v>
      </c>
      <c r="E55" s="102"/>
      <c r="F55" s="4"/>
      <c r="G55" s="23"/>
    </row>
    <row r="56" spans="2:7" x14ac:dyDescent="0.5">
      <c r="B56" s="106">
        <f>$D$19*0.03</f>
        <v>6</v>
      </c>
      <c r="C56" s="107">
        <f>$D$19*0.035</f>
        <v>7.0000000000000009</v>
      </c>
      <c r="D56" s="108">
        <f t="shared" si="2"/>
        <v>3.5000000000000003E-2</v>
      </c>
      <c r="E56" s="102"/>
      <c r="F56" s="4"/>
      <c r="G56" s="23"/>
    </row>
    <row r="57" spans="2:7" x14ac:dyDescent="0.5">
      <c r="B57" s="106">
        <f>$D$19*0.035</f>
        <v>7.0000000000000009</v>
      </c>
      <c r="C57" s="107">
        <f>$D$19*0.04</f>
        <v>8</v>
      </c>
      <c r="D57" s="108">
        <f t="shared" si="2"/>
        <v>0.04</v>
      </c>
      <c r="E57" s="102"/>
      <c r="F57" s="4"/>
      <c r="G57" s="23"/>
    </row>
    <row r="58" spans="2:7" x14ac:dyDescent="0.5">
      <c r="B58" s="106">
        <f>$D$19*0.04</f>
        <v>8</v>
      </c>
      <c r="C58" s="107">
        <f>$D$19*0.045</f>
        <v>9</v>
      </c>
      <c r="D58" s="108">
        <f t="shared" si="2"/>
        <v>4.4999999999999998E-2</v>
      </c>
      <c r="E58" s="102"/>
      <c r="F58" s="4"/>
      <c r="G58" s="23"/>
    </row>
    <row r="59" spans="2:7" ht="14.7" thickBot="1" x14ac:dyDescent="0.55000000000000004">
      <c r="B59" s="109">
        <f>$D$19*0.045</f>
        <v>9</v>
      </c>
      <c r="C59" s="110">
        <f>$D$19*0.05</f>
        <v>10</v>
      </c>
      <c r="D59" s="111">
        <f t="shared" si="2"/>
        <v>0.05</v>
      </c>
      <c r="E59" s="102"/>
      <c r="F59" s="4"/>
      <c r="G59" s="23"/>
    </row>
    <row r="60" spans="2:7" x14ac:dyDescent="0.5">
      <c r="B60" s="21"/>
      <c r="C60" s="22"/>
      <c r="D60" s="22"/>
      <c r="E60" s="22"/>
      <c r="F60" s="22"/>
      <c r="G60" s="23"/>
    </row>
    <row r="61" spans="2:7" x14ac:dyDescent="0.5">
      <c r="B61" s="21" t="s">
        <v>51</v>
      </c>
      <c r="C61" s="22"/>
      <c r="D61" s="22"/>
      <c r="E61" s="22"/>
      <c r="F61" s="22"/>
      <c r="G61" s="23"/>
    </row>
    <row r="62" spans="2:7" x14ac:dyDescent="0.5">
      <c r="B62" s="21" t="s">
        <v>52</v>
      </c>
      <c r="C62" s="22"/>
      <c r="D62" s="22"/>
      <c r="E62" s="22"/>
      <c r="F62" s="22"/>
      <c r="G62" s="23"/>
    </row>
    <row r="63" spans="2:7" ht="14.7" thickBot="1" x14ac:dyDescent="0.55000000000000004">
      <c r="B63" s="64" t="s">
        <v>12</v>
      </c>
      <c r="C63" s="28"/>
      <c r="D63" s="28"/>
      <c r="E63" s="28"/>
      <c r="F63" s="65" t="s">
        <v>16</v>
      </c>
      <c r="G63" s="29"/>
    </row>
  </sheetData>
  <sheetProtection password="808D" sheet="1" objects="1" scenarios="1"/>
  <conditionalFormatting sqref="C38">
    <cfRule type="expression" dxfId="25" priority="12">
      <formula>C31-C38&lt;0</formula>
    </cfRule>
  </conditionalFormatting>
  <conditionalFormatting sqref="E38">
    <cfRule type="expression" dxfId="24" priority="9">
      <formula>E31-E38&lt;0</formula>
    </cfRule>
  </conditionalFormatting>
  <conditionalFormatting sqref="C31">
    <cfRule type="expression" dxfId="23" priority="11">
      <formula>$C$31-$C$38&lt;0</formula>
    </cfRule>
  </conditionalFormatting>
  <conditionalFormatting sqref="C29">
    <cfRule type="expression" dxfId="22" priority="10">
      <formula>C27+C29&lt;C27/2</formula>
    </cfRule>
  </conditionalFormatting>
  <conditionalFormatting sqref="D31">
    <cfRule type="expression" dxfId="21" priority="8">
      <formula>D31-D38&lt;0</formula>
    </cfRule>
  </conditionalFormatting>
  <conditionalFormatting sqref="E31">
    <cfRule type="expression" dxfId="20" priority="7">
      <formula>E31-E38&lt;0</formula>
    </cfRule>
  </conditionalFormatting>
  <conditionalFormatting sqref="D38">
    <cfRule type="expression" dxfId="19" priority="6">
      <formula>"c23-c30&lt;$D$3=0"</formula>
    </cfRule>
  </conditionalFormatting>
  <conditionalFormatting sqref="C33">
    <cfRule type="expression" dxfId="18" priority="5">
      <formula>$C$33&gt;0.1</formula>
    </cfRule>
  </conditionalFormatting>
  <conditionalFormatting sqref="D33">
    <cfRule type="expression" dxfId="17" priority="4">
      <formula>$D$33&gt;0.1</formula>
    </cfRule>
  </conditionalFormatting>
  <conditionalFormatting sqref="E33">
    <cfRule type="expression" dxfId="16" priority="3">
      <formula>$E$33&gt;0.1</formula>
    </cfRule>
  </conditionalFormatting>
  <conditionalFormatting sqref="E29">
    <cfRule type="expression" dxfId="15" priority="2">
      <formula>E27+E29&lt;E27/2</formula>
    </cfRule>
  </conditionalFormatting>
  <conditionalFormatting sqref="D29">
    <cfRule type="expression" dxfId="14" priority="1">
      <formula>D27+D29&lt;D27/2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workbookViewId="0">
      <selection activeCell="G19" sqref="G19"/>
    </sheetView>
  </sheetViews>
  <sheetFormatPr defaultColWidth="31" defaultRowHeight="14.35" x14ac:dyDescent="0.5"/>
  <cols>
    <col min="1" max="1" width="7.17578125" customWidth="1"/>
    <col min="2" max="2" width="28.3515625" customWidth="1"/>
    <col min="4" max="4" width="6.3515625" customWidth="1"/>
    <col min="6" max="6" width="4.8203125" customWidth="1"/>
    <col min="7" max="7" width="34.8203125" customWidth="1"/>
  </cols>
  <sheetData>
    <row r="1" spans="2:7" ht="14.7" thickBot="1" x14ac:dyDescent="0.55000000000000004"/>
    <row r="2" spans="2:7" ht="20.7" x14ac:dyDescent="0.7">
      <c r="B2" s="62" t="s">
        <v>50</v>
      </c>
      <c r="C2" s="19"/>
      <c r="D2" s="19"/>
      <c r="E2" s="19"/>
      <c r="F2" s="19"/>
      <c r="G2" s="20"/>
    </row>
    <row r="3" spans="2:7" x14ac:dyDescent="0.5">
      <c r="B3" s="63" t="s">
        <v>17</v>
      </c>
      <c r="C3" s="22"/>
      <c r="D3" s="22"/>
      <c r="E3" s="22"/>
      <c r="F3" s="22"/>
      <c r="G3" s="23"/>
    </row>
    <row r="4" spans="2:7" x14ac:dyDescent="0.5">
      <c r="B4" s="21"/>
      <c r="C4" s="22"/>
      <c r="D4" s="22"/>
      <c r="E4" s="22"/>
      <c r="F4" s="22"/>
      <c r="G4" s="23"/>
    </row>
    <row r="5" spans="2:7" x14ac:dyDescent="0.5">
      <c r="B5" s="25" t="s">
        <v>18</v>
      </c>
      <c r="C5" s="4"/>
      <c r="D5" s="4"/>
      <c r="E5" s="4"/>
      <c r="F5" s="4"/>
      <c r="G5" s="24"/>
    </row>
    <row r="6" spans="2:7" x14ac:dyDescent="0.5">
      <c r="B6" s="25" t="s">
        <v>20</v>
      </c>
      <c r="C6" s="4"/>
      <c r="D6" s="4"/>
      <c r="E6" s="4"/>
      <c r="F6" s="4"/>
      <c r="G6" s="24"/>
    </row>
    <row r="7" spans="2:7" x14ac:dyDescent="0.5">
      <c r="B7" s="25"/>
      <c r="C7" s="4"/>
      <c r="D7" s="4"/>
      <c r="E7" s="4"/>
      <c r="F7" s="4"/>
      <c r="G7" s="24"/>
    </row>
    <row r="8" spans="2:7" x14ac:dyDescent="0.5">
      <c r="B8" s="25"/>
      <c r="C8" s="4"/>
      <c r="D8" s="4"/>
      <c r="E8" s="4"/>
      <c r="F8" s="4"/>
      <c r="G8" s="24"/>
    </row>
    <row r="9" spans="2:7" x14ac:dyDescent="0.5">
      <c r="B9" s="25" t="s">
        <v>0</v>
      </c>
      <c r="C9" s="4"/>
      <c r="D9" s="4"/>
      <c r="E9" s="4"/>
      <c r="F9" s="4"/>
      <c r="G9" s="24"/>
    </row>
    <row r="10" spans="2:7" x14ac:dyDescent="0.5">
      <c r="B10" s="25" t="s">
        <v>1</v>
      </c>
      <c r="C10" s="4"/>
      <c r="D10" s="4"/>
      <c r="E10" s="4"/>
      <c r="F10" s="4"/>
      <c r="G10" s="24"/>
    </row>
    <row r="11" spans="2:7" x14ac:dyDescent="0.5">
      <c r="B11" s="25"/>
      <c r="C11" s="4"/>
      <c r="D11" s="4"/>
      <c r="E11" s="4"/>
      <c r="F11" s="4"/>
      <c r="G11" s="24"/>
    </row>
    <row r="12" spans="2:7" x14ac:dyDescent="0.5">
      <c r="B12" s="25"/>
      <c r="C12" s="4"/>
      <c r="D12" s="4"/>
      <c r="E12" s="4"/>
      <c r="F12" s="4"/>
      <c r="G12" s="24"/>
    </row>
    <row r="13" spans="2:7" x14ac:dyDescent="0.5">
      <c r="B13" s="25" t="s">
        <v>13</v>
      </c>
      <c r="C13" s="4"/>
      <c r="D13" s="4"/>
      <c r="E13" s="7">
        <v>2</v>
      </c>
      <c r="F13" s="7"/>
      <c r="G13" s="24" t="s">
        <v>2</v>
      </c>
    </row>
    <row r="14" spans="2:7" x14ac:dyDescent="0.5">
      <c r="B14" s="25" t="s">
        <v>3</v>
      </c>
      <c r="C14" s="4"/>
      <c r="D14" s="4"/>
      <c r="E14" s="5">
        <v>3438</v>
      </c>
      <c r="F14" s="5"/>
      <c r="G14" s="24" t="s">
        <v>2</v>
      </c>
    </row>
    <row r="15" spans="2:7" x14ac:dyDescent="0.5">
      <c r="B15" s="25"/>
      <c r="C15" s="130"/>
      <c r="D15" s="130"/>
      <c r="E15" s="130"/>
      <c r="F15" s="130"/>
      <c r="G15" s="131"/>
    </row>
    <row r="16" spans="2:7" ht="18.350000000000001" thickBot="1" x14ac:dyDescent="0.65">
      <c r="B16" s="25"/>
      <c r="C16" s="113" t="s">
        <v>14</v>
      </c>
      <c r="D16" s="6"/>
      <c r="E16" s="113" t="s">
        <v>14</v>
      </c>
      <c r="F16" s="6"/>
      <c r="G16" s="119" t="s">
        <v>14</v>
      </c>
    </row>
    <row r="17" spans="2:7" ht="18" x14ac:dyDescent="0.6">
      <c r="B17" s="8"/>
      <c r="C17" s="9" t="s">
        <v>4</v>
      </c>
      <c r="D17" s="13"/>
      <c r="E17" s="9" t="s">
        <v>5</v>
      </c>
      <c r="F17" s="13"/>
      <c r="G17" s="9" t="s">
        <v>6</v>
      </c>
    </row>
    <row r="18" spans="2:7" ht="18.350000000000001" thickBot="1" x14ac:dyDescent="0.65">
      <c r="B18" s="8"/>
      <c r="C18" s="121" t="s">
        <v>7</v>
      </c>
      <c r="D18" s="13"/>
      <c r="E18" s="10" t="s">
        <v>8</v>
      </c>
      <c r="F18" s="13"/>
      <c r="G18" s="121" t="s">
        <v>9</v>
      </c>
    </row>
    <row r="19" spans="2:7" ht="23.25" customHeight="1" x14ac:dyDescent="0.6">
      <c r="B19" s="8" t="s">
        <v>8</v>
      </c>
      <c r="C19" s="16">
        <v>1200</v>
      </c>
      <c r="D19" s="114"/>
      <c r="E19" s="122">
        <f>IF(E20="",0,(E21*E20)/$E$14)</f>
        <v>2513.0890052356021</v>
      </c>
      <c r="F19" s="115"/>
      <c r="G19" s="15"/>
    </row>
    <row r="20" spans="2:7" ht="23.25" customHeight="1" x14ac:dyDescent="0.6">
      <c r="B20" s="8" t="s">
        <v>15</v>
      </c>
      <c r="C20" s="17">
        <v>2160</v>
      </c>
      <c r="D20" s="114"/>
      <c r="E20" s="17">
        <v>1080</v>
      </c>
      <c r="F20" s="114"/>
      <c r="G20" s="123">
        <f>IF(G21="",0,(G19*$E$14)/G21)</f>
        <v>0</v>
      </c>
    </row>
    <row r="21" spans="2:7" ht="20.7" x14ac:dyDescent="0.7">
      <c r="B21" s="8" t="s">
        <v>10</v>
      </c>
      <c r="C21" s="11">
        <f>IF(C20="",0,(C19*$E$14)/C20)</f>
        <v>1910</v>
      </c>
      <c r="D21" s="116"/>
      <c r="E21" s="17">
        <v>8000</v>
      </c>
      <c r="F21" s="114"/>
      <c r="G21" s="14"/>
    </row>
    <row r="22" spans="2:7" ht="21" thickBot="1" x14ac:dyDescent="0.75">
      <c r="B22" s="8" t="s">
        <v>11</v>
      </c>
      <c r="C22" s="12">
        <f>IF(C19=0,0,C21/C19)</f>
        <v>1.5916666666666666</v>
      </c>
      <c r="D22" s="117"/>
      <c r="E22" s="18">
        <f>IF(E19=0,0,E21/E19)</f>
        <v>3.1833333333333331</v>
      </c>
      <c r="F22" s="118"/>
      <c r="G22" s="18">
        <f>IF(G19=0,0,G21/G19)</f>
        <v>0</v>
      </c>
    </row>
    <row r="23" spans="2:7" x14ac:dyDescent="0.5">
      <c r="B23" s="25"/>
      <c r="C23" s="4"/>
      <c r="D23" s="4"/>
      <c r="E23" s="4"/>
      <c r="F23" s="26"/>
      <c r="G23" s="24"/>
    </row>
    <row r="24" spans="2:7" x14ac:dyDescent="0.5">
      <c r="B24" s="21"/>
      <c r="C24" s="4"/>
      <c r="D24" s="4"/>
      <c r="E24" s="4"/>
      <c r="F24" s="4"/>
      <c r="G24" s="24"/>
    </row>
    <row r="25" spans="2:7" x14ac:dyDescent="0.5">
      <c r="B25" s="21"/>
      <c r="C25" s="22"/>
      <c r="D25" s="22"/>
      <c r="E25" s="22"/>
      <c r="F25" s="22"/>
      <c r="G25" s="23"/>
    </row>
    <row r="26" spans="2:7" x14ac:dyDescent="0.5">
      <c r="B26" s="21"/>
      <c r="C26" s="22"/>
      <c r="D26" s="22"/>
      <c r="E26" s="22"/>
      <c r="F26" s="22"/>
      <c r="G26" s="23"/>
    </row>
    <row r="27" spans="2:7" x14ac:dyDescent="0.5">
      <c r="B27" s="21"/>
      <c r="C27" s="22"/>
      <c r="D27" s="22"/>
      <c r="E27" s="22"/>
      <c r="F27" s="22"/>
      <c r="G27" s="23"/>
    </row>
    <row r="28" spans="2:7" x14ac:dyDescent="0.5">
      <c r="B28" s="21"/>
      <c r="C28" s="22"/>
      <c r="D28" s="22"/>
      <c r="E28" s="22"/>
      <c r="F28" s="22"/>
      <c r="G28" s="23"/>
    </row>
    <row r="29" spans="2:7" x14ac:dyDescent="0.5">
      <c r="B29" s="21" t="s">
        <v>51</v>
      </c>
      <c r="C29" s="22"/>
      <c r="D29" s="22"/>
      <c r="E29" s="22"/>
      <c r="F29" s="22"/>
      <c r="G29" s="23"/>
    </row>
    <row r="30" spans="2:7" x14ac:dyDescent="0.5">
      <c r="B30" s="21" t="s">
        <v>52</v>
      </c>
      <c r="C30" s="22"/>
      <c r="D30" s="22"/>
      <c r="E30" s="22"/>
      <c r="F30" s="22"/>
      <c r="G30" s="23"/>
    </row>
    <row r="31" spans="2:7" x14ac:dyDescent="0.5">
      <c r="B31" s="25" t="s">
        <v>12</v>
      </c>
      <c r="C31" s="22"/>
      <c r="D31" s="22"/>
      <c r="E31" s="22"/>
      <c r="F31" s="22"/>
      <c r="G31" s="120" t="s">
        <v>16</v>
      </c>
    </row>
    <row r="32" spans="2:7" x14ac:dyDescent="0.5">
      <c r="B32" s="21"/>
      <c r="C32" s="22"/>
      <c r="D32" s="22"/>
      <c r="E32" s="22"/>
      <c r="F32" s="22"/>
      <c r="G32" s="23"/>
    </row>
    <row r="33" spans="2:7" x14ac:dyDescent="0.5">
      <c r="B33" s="21"/>
      <c r="C33" s="22"/>
      <c r="D33" s="22"/>
      <c r="E33" s="22"/>
      <c r="F33" s="22"/>
      <c r="G33" s="23"/>
    </row>
    <row r="34" spans="2:7" ht="14.7" thickBot="1" x14ac:dyDescent="0.55000000000000004">
      <c r="B34" s="27"/>
      <c r="C34" s="28"/>
      <c r="D34" s="28"/>
      <c r="E34" s="28"/>
      <c r="F34" s="28"/>
      <c r="G34" s="29"/>
    </row>
  </sheetData>
  <sheetProtection password="808D" sheet="1" objects="1" scenarios="1"/>
  <mergeCells count="1">
    <mergeCell ref="C15:G15"/>
  </mergeCells>
  <conditionalFormatting sqref="C21:D21">
    <cfRule type="expression" dxfId="13" priority="1">
      <formula>$C$21-#REF!&lt;0</formula>
    </cfRule>
  </conditionalFormatting>
  <conditionalFormatting sqref="E21:G21">
    <cfRule type="expression" dxfId="12" priority="2">
      <formula>E21-#REF!&lt;0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3"/>
  <sheetViews>
    <sheetView zoomScale="130" zoomScaleNormal="130" zoomScalePageLayoutView="130" workbookViewId="0">
      <selection activeCell="C27" sqref="C27"/>
    </sheetView>
  </sheetViews>
  <sheetFormatPr defaultColWidth="8.8203125" defaultRowHeight="14.35" x14ac:dyDescent="0.5"/>
  <cols>
    <col min="1" max="1" width="4.3515625" customWidth="1"/>
    <col min="2" max="2" width="24.17578125" customWidth="1"/>
    <col min="3" max="3" width="21.64453125" customWidth="1"/>
    <col min="4" max="4" width="20.46875" customWidth="1"/>
    <col min="5" max="5" width="19.64453125" customWidth="1"/>
    <col min="6" max="6" width="24.17578125" customWidth="1"/>
    <col min="7" max="7" width="10.3515625" customWidth="1"/>
  </cols>
  <sheetData>
    <row r="1" spans="2:7" ht="14.7" thickBot="1" x14ac:dyDescent="0.55000000000000004"/>
    <row r="2" spans="2:7" ht="20.7" x14ac:dyDescent="0.7">
      <c r="B2" s="62" t="s">
        <v>54</v>
      </c>
      <c r="C2" s="95"/>
      <c r="D2" s="96"/>
      <c r="E2" s="96"/>
      <c r="F2" s="97"/>
      <c r="G2" s="20"/>
    </row>
    <row r="3" spans="2:7" x14ac:dyDescent="0.5">
      <c r="B3" s="63" t="s">
        <v>17</v>
      </c>
      <c r="C3" s="22"/>
      <c r="D3" s="22"/>
      <c r="E3" s="22"/>
      <c r="F3" s="22"/>
      <c r="G3" s="23"/>
    </row>
    <row r="4" spans="2:7" x14ac:dyDescent="0.5">
      <c r="B4" s="25"/>
      <c r="C4" s="4"/>
      <c r="D4" s="4"/>
      <c r="E4" s="4"/>
      <c r="F4" s="4"/>
      <c r="G4" s="23"/>
    </row>
    <row r="5" spans="2:7" x14ac:dyDescent="0.5">
      <c r="B5" s="25" t="s">
        <v>47</v>
      </c>
      <c r="C5" s="4"/>
      <c r="D5" s="4"/>
      <c r="E5" s="4"/>
      <c r="F5" s="4"/>
      <c r="G5" s="23"/>
    </row>
    <row r="6" spans="2:7" x14ac:dyDescent="0.5">
      <c r="B6" s="25" t="s">
        <v>46</v>
      </c>
      <c r="C6" s="4"/>
      <c r="D6" s="4"/>
      <c r="E6" s="4"/>
      <c r="F6" s="4"/>
      <c r="G6" s="23"/>
    </row>
    <row r="7" spans="2:7" x14ac:dyDescent="0.5">
      <c r="B7" s="25" t="s">
        <v>48</v>
      </c>
      <c r="C7" s="4"/>
      <c r="D7" s="4"/>
      <c r="E7" s="4"/>
      <c r="F7" s="4"/>
      <c r="G7" s="23"/>
    </row>
    <row r="8" spans="2:7" x14ac:dyDescent="0.5">
      <c r="B8" s="25"/>
      <c r="C8" s="4"/>
      <c r="D8" s="4"/>
      <c r="E8" s="4"/>
      <c r="F8" s="4"/>
      <c r="G8" s="23"/>
    </row>
    <row r="9" spans="2:7" x14ac:dyDescent="0.5">
      <c r="B9" s="98" t="s">
        <v>49</v>
      </c>
      <c r="C9" s="4"/>
      <c r="D9" s="4"/>
      <c r="E9" s="4"/>
      <c r="F9" s="4"/>
      <c r="G9" s="23"/>
    </row>
    <row r="10" spans="2:7" x14ac:dyDescent="0.5">
      <c r="B10" s="98" t="s">
        <v>21</v>
      </c>
      <c r="C10" s="4"/>
      <c r="D10" s="4"/>
      <c r="E10" s="4"/>
      <c r="F10" s="4"/>
      <c r="G10" s="23"/>
    </row>
    <row r="11" spans="2:7" x14ac:dyDescent="0.5">
      <c r="B11" s="98" t="s">
        <v>22</v>
      </c>
      <c r="C11" s="4"/>
      <c r="D11" s="4"/>
      <c r="E11" s="4"/>
      <c r="F11" s="4"/>
      <c r="G11" s="23"/>
    </row>
    <row r="12" spans="2:7" x14ac:dyDescent="0.5">
      <c r="B12" s="98" t="s">
        <v>23</v>
      </c>
      <c r="C12" s="4"/>
      <c r="D12" s="4"/>
      <c r="E12" s="4"/>
      <c r="F12" s="4"/>
      <c r="G12" s="23"/>
    </row>
    <row r="13" spans="2:7" x14ac:dyDescent="0.5">
      <c r="B13" s="98" t="s">
        <v>24</v>
      </c>
      <c r="C13" s="4"/>
      <c r="D13" s="4"/>
      <c r="E13" s="4"/>
      <c r="F13" s="4"/>
      <c r="G13" s="23"/>
    </row>
    <row r="14" spans="2:7" x14ac:dyDescent="0.5">
      <c r="B14" s="98" t="s">
        <v>1</v>
      </c>
      <c r="C14" s="4"/>
      <c r="D14" s="4"/>
      <c r="E14" s="4"/>
      <c r="F14" s="4"/>
      <c r="G14" s="23"/>
    </row>
    <row r="15" spans="2:7" x14ac:dyDescent="0.5">
      <c r="B15" s="98" t="s">
        <v>25</v>
      </c>
      <c r="C15" s="4"/>
      <c r="D15" s="4"/>
      <c r="E15" s="4"/>
      <c r="F15" s="4"/>
      <c r="G15" s="23"/>
    </row>
    <row r="16" spans="2:7" x14ac:dyDescent="0.5">
      <c r="B16" s="98" t="s">
        <v>0</v>
      </c>
      <c r="C16" s="4"/>
      <c r="D16" s="4"/>
      <c r="E16" s="4"/>
      <c r="F16" s="4"/>
      <c r="G16" s="23"/>
    </row>
    <row r="17" spans="2:11" x14ac:dyDescent="0.5">
      <c r="B17" s="25"/>
      <c r="C17" s="4"/>
      <c r="D17" s="4"/>
      <c r="E17" s="4"/>
      <c r="F17" s="4"/>
      <c r="G17" s="23"/>
      <c r="K17" t="s">
        <v>19</v>
      </c>
    </row>
    <row r="18" spans="2:11" x14ac:dyDescent="0.5">
      <c r="B18" s="21"/>
      <c r="C18" s="1" t="s">
        <v>13</v>
      </c>
      <c r="D18" s="2">
        <v>17.25</v>
      </c>
      <c r="E18" s="4" t="s">
        <v>26</v>
      </c>
      <c r="F18" s="4"/>
      <c r="G18" s="23"/>
    </row>
    <row r="19" spans="2:11" x14ac:dyDescent="0.5">
      <c r="B19" s="21"/>
      <c r="C19" s="1" t="s">
        <v>3</v>
      </c>
      <c r="D19" s="3">
        <f>ROUNDUP(0.5/TAN((($D$18/120)*(PI()/180))),0)</f>
        <v>200</v>
      </c>
      <c r="E19" s="4" t="s">
        <v>26</v>
      </c>
      <c r="F19" s="4"/>
      <c r="G19" s="23"/>
    </row>
    <row r="20" spans="2:11" ht="14.7" thickBot="1" x14ac:dyDescent="0.55000000000000004">
      <c r="B20" s="25"/>
      <c r="C20" s="4"/>
      <c r="D20" s="4"/>
      <c r="E20" s="4"/>
      <c r="F20" s="4"/>
      <c r="G20" s="23"/>
    </row>
    <row r="21" spans="2:11" x14ac:dyDescent="0.5">
      <c r="B21" s="86"/>
      <c r="C21" s="87" t="s">
        <v>27</v>
      </c>
      <c r="D21" s="88">
        <v>48</v>
      </c>
      <c r="E21" s="4"/>
      <c r="F21" s="4"/>
      <c r="G21" s="23"/>
    </row>
    <row r="22" spans="2:11" ht="14.7" thickBot="1" x14ac:dyDescent="0.55000000000000004">
      <c r="B22" s="84"/>
      <c r="C22" s="85" t="s">
        <v>58</v>
      </c>
      <c r="D22" s="89">
        <v>1.78</v>
      </c>
      <c r="E22" s="4" t="s">
        <v>53</v>
      </c>
      <c r="F22" s="4"/>
      <c r="G22" s="23"/>
    </row>
    <row r="23" spans="2:11" ht="14.7" thickBot="1" x14ac:dyDescent="0.55000000000000004">
      <c r="B23" s="99"/>
      <c r="C23" s="26"/>
      <c r="D23" s="61"/>
      <c r="E23" s="4"/>
      <c r="F23" s="4"/>
      <c r="G23" s="23"/>
    </row>
    <row r="24" spans="2:11" ht="16" thickBot="1" x14ac:dyDescent="0.6">
      <c r="B24" s="124" t="s">
        <v>59</v>
      </c>
      <c r="C24" s="79" t="s">
        <v>14</v>
      </c>
      <c r="D24" s="80" t="s">
        <v>14</v>
      </c>
      <c r="E24" s="81" t="s">
        <v>14</v>
      </c>
      <c r="F24" s="4"/>
      <c r="G24" s="23"/>
    </row>
    <row r="25" spans="2:11" ht="29.35" x14ac:dyDescent="0.6">
      <c r="B25" s="125" t="s">
        <v>60</v>
      </c>
      <c r="C25" s="78" t="s">
        <v>4</v>
      </c>
      <c r="D25" s="76" t="s">
        <v>5</v>
      </c>
      <c r="E25" s="77" t="s">
        <v>5</v>
      </c>
      <c r="F25" s="71"/>
      <c r="G25" s="23"/>
    </row>
    <row r="26" spans="2:11" ht="18.350000000000001" thickBot="1" x14ac:dyDescent="0.55000000000000004">
      <c r="B26" s="8"/>
      <c r="C26" s="73" t="s">
        <v>7</v>
      </c>
      <c r="D26" s="74" t="s">
        <v>8</v>
      </c>
      <c r="E26" s="75" t="s">
        <v>29</v>
      </c>
      <c r="F26" s="72" t="s">
        <v>30</v>
      </c>
      <c r="G26" s="23"/>
    </row>
    <row r="27" spans="2:11" x14ac:dyDescent="0.5">
      <c r="B27" s="66" t="s">
        <v>8</v>
      </c>
      <c r="C27" s="90">
        <v>100</v>
      </c>
      <c r="D27" s="126">
        <f>IF(D33="",0,D31/(D33*D19))</f>
        <v>100</v>
      </c>
      <c r="E27" s="34">
        <v>100</v>
      </c>
      <c r="F27" s="35"/>
      <c r="G27" s="23"/>
    </row>
    <row r="28" spans="2:11" ht="29.25" customHeight="1" x14ac:dyDescent="0.5">
      <c r="B28" s="67" t="s">
        <v>31</v>
      </c>
      <c r="C28" s="91">
        <v>50</v>
      </c>
      <c r="D28" s="91">
        <v>50</v>
      </c>
      <c r="E28" s="91">
        <v>50</v>
      </c>
      <c r="F28" s="36"/>
      <c r="G28" s="23"/>
    </row>
    <row r="29" spans="2:11" x14ac:dyDescent="0.5">
      <c r="B29" s="68" t="s">
        <v>32</v>
      </c>
      <c r="C29" s="37">
        <f>IF(C28="",0,C28-$D$21)</f>
        <v>2</v>
      </c>
      <c r="D29" s="37">
        <f t="shared" ref="D29:E29" si="0">IF(D28="",0,D28-$D$21)</f>
        <v>2</v>
      </c>
      <c r="E29" s="37">
        <f t="shared" si="0"/>
        <v>2</v>
      </c>
      <c r="F29" s="38" t="str">
        <f>IF(D27="------","",IF(OR(C27+C29&lt;C27/2,D27+D29&lt;D27/2,E27+E29&lt;E27/2),"Too little offset",""))</f>
        <v/>
      </c>
      <c r="G29" s="23"/>
    </row>
    <row r="30" spans="2:11" x14ac:dyDescent="0.5">
      <c r="B30" s="68" t="s">
        <v>33</v>
      </c>
      <c r="C30" s="39">
        <f>IF($D$22="",0,C27*$D$22)</f>
        <v>178</v>
      </c>
      <c r="D30" s="39">
        <f>IF($D$22="",0,D27*$D$22)</f>
        <v>178</v>
      </c>
      <c r="E30" s="39">
        <f>IF($D$22="",0,E27*$D$22)</f>
        <v>178</v>
      </c>
      <c r="F30" s="40"/>
      <c r="G30" s="23"/>
    </row>
    <row r="31" spans="2:11" x14ac:dyDescent="0.5">
      <c r="B31" s="68" t="s">
        <v>10</v>
      </c>
      <c r="C31" s="127">
        <f>C27*C33*200</f>
        <v>400</v>
      </c>
      <c r="D31" s="93">
        <v>400</v>
      </c>
      <c r="E31" s="94">
        <v>400</v>
      </c>
      <c r="F31" s="42" t="str">
        <f>IF(OR($C$31-$C$38&lt;0,$D$31-$D$38&lt;0,$E$31-$E$38&lt;0),"Good viewing undefined","")</f>
        <v/>
      </c>
      <c r="G31" s="23"/>
    </row>
    <row r="32" spans="2:11" x14ac:dyDescent="0.5">
      <c r="B32" s="68" t="s">
        <v>11</v>
      </c>
      <c r="C32" s="43">
        <f>IF(C27=0,0,C31/C27)</f>
        <v>4</v>
      </c>
      <c r="D32" s="43">
        <f>IF(D27=0,0,D31/D27)</f>
        <v>4</v>
      </c>
      <c r="E32" s="44">
        <f>IF(E27=0,0,E31/E27)</f>
        <v>4</v>
      </c>
      <c r="F32" s="40"/>
      <c r="G32" s="23"/>
    </row>
    <row r="33" spans="2:7" ht="14.7" thickBot="1" x14ac:dyDescent="0.55000000000000004">
      <c r="B33" s="69" t="s">
        <v>34</v>
      </c>
      <c r="C33" s="92">
        <v>0.02</v>
      </c>
      <c r="D33" s="92">
        <v>0.02</v>
      </c>
      <c r="E33" s="129">
        <f>IF(E32="------","------",E32/$D$19)</f>
        <v>0.02</v>
      </c>
      <c r="F33" s="46" t="str">
        <f>IF(OR($C$33&gt;0.1,$D$33&gt;0.1,$E$33&gt;0.1,$C$33&lt;0,$D$33&lt;0,$E$33&lt;0),"%Element size not in range","")</f>
        <v/>
      </c>
      <c r="G33" s="23"/>
    </row>
    <row r="34" spans="2:7" x14ac:dyDescent="0.5">
      <c r="B34" s="47"/>
      <c r="C34" s="48"/>
      <c r="D34" s="48"/>
      <c r="E34" s="49"/>
      <c r="F34" s="50"/>
      <c r="G34" s="23"/>
    </row>
    <row r="35" spans="2:7" ht="15.7" x14ac:dyDescent="0.55000000000000004">
      <c r="B35" s="82" t="s">
        <v>56</v>
      </c>
      <c r="C35" s="30" t="s">
        <v>4</v>
      </c>
      <c r="D35" s="30" t="s">
        <v>5</v>
      </c>
      <c r="E35" s="31" t="s">
        <v>5</v>
      </c>
      <c r="F35" s="50"/>
      <c r="G35" s="23"/>
    </row>
    <row r="36" spans="2:7" ht="18.350000000000001" thickBot="1" x14ac:dyDescent="0.65">
      <c r="B36" s="83" t="s">
        <v>55</v>
      </c>
      <c r="C36" s="30" t="s">
        <v>7</v>
      </c>
      <c r="D36" s="30" t="s">
        <v>8</v>
      </c>
      <c r="E36" s="31" t="s">
        <v>29</v>
      </c>
      <c r="F36" s="32" t="s">
        <v>30</v>
      </c>
      <c r="G36" s="23"/>
    </row>
    <row r="37" spans="2:7" x14ac:dyDescent="0.5">
      <c r="B37" s="66" t="s">
        <v>35</v>
      </c>
      <c r="C37" s="33">
        <f>C27+C29</f>
        <v>102</v>
      </c>
      <c r="D37" s="33">
        <f>D27+D29</f>
        <v>102</v>
      </c>
      <c r="E37" s="51">
        <f>E27+E29</f>
        <v>102</v>
      </c>
      <c r="F37" s="35"/>
      <c r="G37" s="23"/>
    </row>
    <row r="38" spans="2:7" x14ac:dyDescent="0.5">
      <c r="B38" s="68" t="s">
        <v>36</v>
      </c>
      <c r="C38" s="52">
        <f>C37*1.732</f>
        <v>176.66399999999999</v>
      </c>
      <c r="D38" s="52">
        <f>D37*1.732</f>
        <v>176.66399999999999</v>
      </c>
      <c r="E38" s="53">
        <f>E37*1.732</f>
        <v>176.66399999999999</v>
      </c>
      <c r="F38" s="42" t="str">
        <f>IF(OR($C$31-$C$38&lt;0,$D$31-$D$38&lt;0,$E$31-$E$38&lt;0),"Good viewing undefined","")</f>
        <v/>
      </c>
      <c r="G38" s="23"/>
    </row>
    <row r="39" spans="2:7" x14ac:dyDescent="0.5">
      <c r="B39" s="68" t="s">
        <v>11</v>
      </c>
      <c r="C39" s="43">
        <f>IF(C27=0,0,C38/C27)</f>
        <v>1.7666399999999998</v>
      </c>
      <c r="D39" s="43">
        <f>IF(D27=0,0,D38/D27)</f>
        <v>1.7666399999999998</v>
      </c>
      <c r="E39" s="44">
        <f>IF(E27=0,0,E38/E27)</f>
        <v>1.7666399999999998</v>
      </c>
      <c r="F39" s="40"/>
      <c r="G39" s="23"/>
    </row>
    <row r="40" spans="2:7" x14ac:dyDescent="0.5">
      <c r="B40" s="70" t="s">
        <v>37</v>
      </c>
      <c r="C40" s="54">
        <f>C31-C38</f>
        <v>223.33600000000001</v>
      </c>
      <c r="D40" s="54">
        <f t="shared" ref="D40:E40" si="1">D31-D38</f>
        <v>223.33600000000001</v>
      </c>
      <c r="E40" s="55">
        <f t="shared" si="1"/>
        <v>223.33600000000001</v>
      </c>
      <c r="F40" s="56"/>
      <c r="G40" s="23"/>
    </row>
    <row r="41" spans="2:7" ht="14.7" thickBot="1" x14ac:dyDescent="0.55000000000000004">
      <c r="B41" s="69" t="s">
        <v>38</v>
      </c>
      <c r="C41" s="57">
        <f>IF((6*C27+C29)-C30&lt;0,0,(6*C27+C29)-C30)</f>
        <v>424</v>
      </c>
      <c r="D41" s="57">
        <f>IF(D27="------","------",IF((6*D27+D29)-D30&lt;0,0,(6*D27+D29)-D30))</f>
        <v>424</v>
      </c>
      <c r="E41" s="58">
        <f>IF((6*E27+E29)-E30&lt;0,0,(6*E27+E29)-E30)</f>
        <v>424</v>
      </c>
      <c r="F41" s="46"/>
      <c r="G41" s="23"/>
    </row>
    <row r="42" spans="2:7" x14ac:dyDescent="0.5">
      <c r="B42" s="25"/>
      <c r="C42" s="4"/>
      <c r="D42" s="4"/>
      <c r="E42" s="4"/>
      <c r="F42" s="4"/>
      <c r="G42" s="23"/>
    </row>
    <row r="43" spans="2:7" x14ac:dyDescent="0.5">
      <c r="B43" s="25" t="s">
        <v>12</v>
      </c>
      <c r="C43" s="4"/>
      <c r="D43" s="4"/>
      <c r="E43" s="4"/>
      <c r="F43" s="4"/>
      <c r="G43" s="23"/>
    </row>
    <row r="44" spans="2:7" x14ac:dyDescent="0.5">
      <c r="B44" s="25"/>
      <c r="C44" s="4"/>
      <c r="D44" s="4"/>
      <c r="E44" s="4"/>
      <c r="F44" s="4"/>
      <c r="G44" s="23"/>
    </row>
    <row r="45" spans="2:7" x14ac:dyDescent="0.5">
      <c r="B45" s="100" t="s">
        <v>39</v>
      </c>
      <c r="C45" s="59"/>
      <c r="D45" s="59" t="s">
        <v>40</v>
      </c>
      <c r="E45" s="4"/>
      <c r="F45" s="4"/>
      <c r="G45" s="23"/>
    </row>
    <row r="46" spans="2:7" x14ac:dyDescent="0.5">
      <c r="B46" s="101" t="s">
        <v>41</v>
      </c>
      <c r="C46" s="60"/>
      <c r="D46" s="60" t="s">
        <v>29</v>
      </c>
      <c r="E46" s="4"/>
      <c r="F46" s="4"/>
      <c r="G46" s="23"/>
    </row>
    <row r="47" spans="2:7" x14ac:dyDescent="0.5">
      <c r="B47" s="101" t="s">
        <v>11</v>
      </c>
      <c r="C47" s="60"/>
      <c r="D47" s="60" t="s">
        <v>42</v>
      </c>
      <c r="E47" s="4"/>
      <c r="F47" s="4"/>
      <c r="G47" s="23"/>
    </row>
    <row r="48" spans="2:7" ht="14.7" thickBot="1" x14ac:dyDescent="0.55000000000000004">
      <c r="B48" s="101" t="s">
        <v>43</v>
      </c>
      <c r="C48" s="60" t="s">
        <v>44</v>
      </c>
      <c r="D48" s="60" t="s">
        <v>45</v>
      </c>
      <c r="E48" s="4"/>
      <c r="F48" s="4"/>
      <c r="G48" s="23"/>
    </row>
    <row r="49" spans="2:7" x14ac:dyDescent="0.5">
      <c r="B49" s="103">
        <f>$D$19*0.004</f>
        <v>0.8</v>
      </c>
      <c r="C49" s="104">
        <f>$D$19*0.005</f>
        <v>1</v>
      </c>
      <c r="D49" s="105">
        <f>C49/ROUNDUP($D$19,0)</f>
        <v>5.0000000000000001E-3</v>
      </c>
      <c r="E49" s="102"/>
      <c r="F49" s="4"/>
      <c r="G49" s="23"/>
    </row>
    <row r="50" spans="2:7" x14ac:dyDescent="0.5">
      <c r="B50" s="106">
        <f>$D$19*0.005</f>
        <v>1</v>
      </c>
      <c r="C50" s="107">
        <f>$D$19*0.0075</f>
        <v>1.5</v>
      </c>
      <c r="D50" s="108">
        <f t="shared" ref="D50:D59" si="2">C50/ROUNDUP($D$19,0)</f>
        <v>7.4999999999999997E-3</v>
      </c>
      <c r="E50" s="102"/>
      <c r="F50" s="4"/>
      <c r="G50" s="23"/>
    </row>
    <row r="51" spans="2:7" x14ac:dyDescent="0.5">
      <c r="B51" s="106">
        <f>$D$19*0.0075</f>
        <v>1.5</v>
      </c>
      <c r="C51" s="107">
        <f>$D$19*0.01</f>
        <v>2</v>
      </c>
      <c r="D51" s="108">
        <f t="shared" si="2"/>
        <v>0.01</v>
      </c>
      <c r="E51" s="102"/>
      <c r="F51" s="4"/>
      <c r="G51" s="23"/>
    </row>
    <row r="52" spans="2:7" x14ac:dyDescent="0.5">
      <c r="B52" s="106">
        <f>$D$19*0.01</f>
        <v>2</v>
      </c>
      <c r="C52" s="107">
        <f>$D$19*0.015</f>
        <v>3</v>
      </c>
      <c r="D52" s="128">
        <f t="shared" si="2"/>
        <v>1.4999999999999999E-2</v>
      </c>
      <c r="E52" s="102"/>
      <c r="F52" s="4"/>
      <c r="G52" s="23"/>
    </row>
    <row r="53" spans="2:7" x14ac:dyDescent="0.5">
      <c r="B53" s="106">
        <f>$D$19*0.015</f>
        <v>3</v>
      </c>
      <c r="C53" s="107">
        <f>$D$19*0.02</f>
        <v>4</v>
      </c>
      <c r="D53" s="108">
        <f t="shared" si="2"/>
        <v>0.02</v>
      </c>
      <c r="E53" s="102"/>
      <c r="F53" s="4"/>
      <c r="G53" s="23"/>
    </row>
    <row r="54" spans="2:7" x14ac:dyDescent="0.5">
      <c r="B54" s="106">
        <f>$D$19*0.02</f>
        <v>4</v>
      </c>
      <c r="C54" s="107">
        <f>$D$19*0.025</f>
        <v>5</v>
      </c>
      <c r="D54" s="108">
        <f t="shared" si="2"/>
        <v>2.5000000000000001E-2</v>
      </c>
      <c r="E54" s="102"/>
      <c r="F54" s="4"/>
      <c r="G54" s="23"/>
    </row>
    <row r="55" spans="2:7" x14ac:dyDescent="0.5">
      <c r="B55" s="106">
        <f>$D$19*0.025</f>
        <v>5</v>
      </c>
      <c r="C55" s="107">
        <f>$D$19*0.03</f>
        <v>6</v>
      </c>
      <c r="D55" s="108">
        <f t="shared" si="2"/>
        <v>0.03</v>
      </c>
      <c r="E55" s="102"/>
      <c r="F55" s="4"/>
      <c r="G55" s="23"/>
    </row>
    <row r="56" spans="2:7" x14ac:dyDescent="0.5">
      <c r="B56" s="106">
        <f>$D$19*0.03</f>
        <v>6</v>
      </c>
      <c r="C56" s="107">
        <f>$D$19*0.035</f>
        <v>7.0000000000000009</v>
      </c>
      <c r="D56" s="108">
        <f t="shared" si="2"/>
        <v>3.5000000000000003E-2</v>
      </c>
      <c r="E56" s="102"/>
      <c r="F56" s="4"/>
      <c r="G56" s="23"/>
    </row>
    <row r="57" spans="2:7" x14ac:dyDescent="0.5">
      <c r="B57" s="106">
        <f>$D$19*0.035</f>
        <v>7.0000000000000009</v>
      </c>
      <c r="C57" s="107">
        <f>$D$19*0.04</f>
        <v>8</v>
      </c>
      <c r="D57" s="108">
        <f t="shared" si="2"/>
        <v>0.04</v>
      </c>
      <c r="E57" s="102"/>
      <c r="F57" s="4"/>
      <c r="G57" s="23"/>
    </row>
    <row r="58" spans="2:7" x14ac:dyDescent="0.5">
      <c r="B58" s="106">
        <f>$D$19*0.04</f>
        <v>8</v>
      </c>
      <c r="C58" s="107">
        <f>$D$19*0.045</f>
        <v>9</v>
      </c>
      <c r="D58" s="108">
        <f t="shared" si="2"/>
        <v>4.4999999999999998E-2</v>
      </c>
      <c r="E58" s="102"/>
      <c r="F58" s="4"/>
      <c r="G58" s="23"/>
    </row>
    <row r="59" spans="2:7" ht="14.7" thickBot="1" x14ac:dyDescent="0.55000000000000004">
      <c r="B59" s="109">
        <f>$D$19*0.045</f>
        <v>9</v>
      </c>
      <c r="C59" s="110">
        <f>$D$19*0.05</f>
        <v>10</v>
      </c>
      <c r="D59" s="111">
        <f t="shared" si="2"/>
        <v>0.05</v>
      </c>
      <c r="E59" s="102"/>
      <c r="F59" s="4"/>
      <c r="G59" s="23"/>
    </row>
    <row r="60" spans="2:7" x14ac:dyDescent="0.5">
      <c r="B60" s="21"/>
      <c r="C60" s="22"/>
      <c r="D60" s="22"/>
      <c r="E60" s="22"/>
      <c r="F60" s="22"/>
      <c r="G60" s="23"/>
    </row>
    <row r="61" spans="2:7" x14ac:dyDescent="0.5">
      <c r="B61" s="21" t="s">
        <v>51</v>
      </c>
      <c r="C61" s="22"/>
      <c r="D61" s="22"/>
      <c r="E61" s="22"/>
      <c r="F61" s="22"/>
      <c r="G61" s="23"/>
    </row>
    <row r="62" spans="2:7" x14ac:dyDescent="0.5">
      <c r="B62" s="21" t="s">
        <v>52</v>
      </c>
      <c r="C62" s="22"/>
      <c r="D62" s="22"/>
      <c r="E62" s="22"/>
      <c r="F62" s="22"/>
      <c r="G62" s="23"/>
    </row>
    <row r="63" spans="2:7" ht="14.7" thickBot="1" x14ac:dyDescent="0.55000000000000004">
      <c r="B63" s="64" t="s">
        <v>12</v>
      </c>
      <c r="C63" s="28"/>
      <c r="D63" s="28"/>
      <c r="E63" s="28"/>
      <c r="F63" s="65" t="s">
        <v>16</v>
      </c>
      <c r="G63" s="29"/>
    </row>
  </sheetData>
  <sheetProtection password="808D" sheet="1" objects="1" scenarios="1"/>
  <conditionalFormatting sqref="C38">
    <cfRule type="expression" dxfId="11" priority="12">
      <formula>C31-C38&lt;0</formula>
    </cfRule>
  </conditionalFormatting>
  <conditionalFormatting sqref="E38">
    <cfRule type="expression" dxfId="10" priority="9">
      <formula>E31-E38&lt;0</formula>
    </cfRule>
  </conditionalFormatting>
  <conditionalFormatting sqref="C31">
    <cfRule type="expression" dxfId="9" priority="11">
      <formula>$C$31-$C$38&lt;0</formula>
    </cfRule>
  </conditionalFormatting>
  <conditionalFormatting sqref="C29">
    <cfRule type="expression" dxfId="8" priority="10">
      <formula>C27+C29&lt;C27/2</formula>
    </cfRule>
  </conditionalFormatting>
  <conditionalFormatting sqref="D31">
    <cfRule type="expression" dxfId="7" priority="8">
      <formula>D31-D38&lt;0</formula>
    </cfRule>
  </conditionalFormatting>
  <conditionalFormatting sqref="E31">
    <cfRule type="expression" dxfId="6" priority="7">
      <formula>E31-E38&lt;0</formula>
    </cfRule>
  </conditionalFormatting>
  <conditionalFormatting sqref="D38">
    <cfRule type="expression" dxfId="5" priority="6">
      <formula>"c23-c30&lt;$D$3=0"</formula>
    </cfRule>
  </conditionalFormatting>
  <conditionalFormatting sqref="C33">
    <cfRule type="expression" dxfId="4" priority="5">
      <formula>$C$33&gt;0.1</formula>
    </cfRule>
  </conditionalFormatting>
  <conditionalFormatting sqref="D33">
    <cfRule type="expression" dxfId="3" priority="4">
      <formula>$D$33&gt;0.1</formula>
    </cfRule>
  </conditionalFormatting>
  <conditionalFormatting sqref="E33">
    <cfRule type="expression" dxfId="2" priority="3">
      <formula>$E$33&gt;0.1</formula>
    </cfRule>
  </conditionalFormatting>
  <conditionalFormatting sqref="E29">
    <cfRule type="expression" dxfId="1" priority="2">
      <formula>E27+E29&lt;E27/2</formula>
    </cfRule>
  </conditionalFormatting>
  <conditionalFormatting sqref="D29">
    <cfRule type="expression" dxfId="0" priority="1">
      <formula>D27+D29&lt;D27/2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 FIRST!</vt:lpstr>
      <vt:lpstr>Basic Decision Making </vt:lpstr>
      <vt:lpstr>Analytical Decision Making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Brigida;Greg Jeffreys (VDL)</dc:creator>
  <cp:lastModifiedBy>Greg Jeffreys (VDL)</cp:lastModifiedBy>
  <dcterms:created xsi:type="dcterms:W3CDTF">2015-12-24T18:26:41Z</dcterms:created>
  <dcterms:modified xsi:type="dcterms:W3CDTF">2019-12-13T06:52:23Z</dcterms:modified>
</cp:coreProperties>
</file>